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4.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6.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W:\Clean Energy Extension\Projects\NREL SEIN Project - Solar Siting\Project Tasks\4 - Finc Modeling\Tools\CF Model\"/>
    </mc:Choice>
  </mc:AlternateContent>
  <xr:revisionPtr revIDLastSave="0" documentId="13_ncr:1_{E34F07D3-C24A-4DE8-B686-74739C97E895}" xr6:coauthVersionLast="47" xr6:coauthVersionMax="47" xr10:uidLastSave="{00000000-0000-0000-0000-000000000000}"/>
  <bookViews>
    <workbookView xWindow="29910" yWindow="270" windowWidth="27150" windowHeight="14940" tabRatio="682" xr2:uid="{00000000-000D-0000-FFFF-FFFF00000000}"/>
  </bookViews>
  <sheets>
    <sheet name="Model Info" sheetId="170" r:id="rId1"/>
    <sheet name="User Inputs" sheetId="28" r:id="rId2"/>
    <sheet name="Results Summary" sheetId="172" r:id="rId3"/>
    <sheet name="Cash Flow Tables" sheetId="169" r:id="rId4"/>
    <sheet name="A" sheetId="89" r:id="rId5"/>
    <sheet name="B" sheetId="166" r:id="rId6"/>
    <sheet name="C" sheetId="167" r:id="rId7"/>
    <sheet name="D" sheetId="168" r:id="rId8"/>
  </sheets>
  <externalReferences>
    <externalReference r:id="rId9"/>
    <externalReference r:id="rId10"/>
    <externalReference r:id="rId11"/>
  </externalReferences>
  <definedNames>
    <definedName name="Aggregators">[1]lists!$G$6:$G$19</definedName>
    <definedName name="AssetBasis" localSheetId="4">A!$G$23</definedName>
    <definedName name="AssetBasis" localSheetId="5">B!$G$23</definedName>
    <definedName name="AssetBasis" localSheetId="6">'C'!$G$23</definedName>
    <definedName name="AssetBasis" localSheetId="7">D!$G$23</definedName>
    <definedName name="AssetBasis">#REF!</definedName>
    <definedName name="AuctionPrice" localSheetId="4">A!#REF!</definedName>
    <definedName name="AuctionPrice" localSheetId="5">B!#REF!</definedName>
    <definedName name="AuctionPrice" localSheetId="6">'C'!#REF!</definedName>
    <definedName name="AuctionPrice" localSheetId="7">D!#REF!</definedName>
    <definedName name="AuctionPrice">#REF!</definedName>
    <definedName name="BegLoanBal" localSheetId="4">A!$85:$85</definedName>
    <definedName name="BegLoanBal" localSheetId="5">B!$85:$85</definedName>
    <definedName name="BegLoanBal" localSheetId="6">'C'!$85:$85</definedName>
    <definedName name="BegLoanBal" localSheetId="7">D!$85:$85</definedName>
    <definedName name="BegLoanBal">#REF!</definedName>
    <definedName name="CapacityFactor" localSheetId="4">A!$B$22</definedName>
    <definedName name="CapacityFactor" localSheetId="5">B!$B$22</definedName>
    <definedName name="CapacityFactor" localSheetId="6">'C'!$B$22</definedName>
    <definedName name="CapacityFactor" localSheetId="7">D!$B$22</definedName>
    <definedName name="CapacityFactor">#REF!</definedName>
    <definedName name="ContractPrice" localSheetId="4">A!#REF!</definedName>
    <definedName name="ContractPrice" localSheetId="5">B!#REF!</definedName>
    <definedName name="ContractPrice" localSheetId="6">'C'!#REF!</definedName>
    <definedName name="ContractPrice" localSheetId="7">D!#REF!</definedName>
    <definedName name="ContractPrice">#REF!</definedName>
    <definedName name="ContractTerm" localSheetId="4">A!#REF!</definedName>
    <definedName name="ContractTerm" localSheetId="5">B!#REF!</definedName>
    <definedName name="ContractTerm" localSheetId="6">'C'!#REF!</definedName>
    <definedName name="ContractTerm" localSheetId="7">D!#REF!</definedName>
    <definedName name="ContractTerm">#REF!</definedName>
    <definedName name="costperwatt" localSheetId="4">A!$B$12</definedName>
    <definedName name="costperwatt" localSheetId="5">B!$B$12</definedName>
    <definedName name="costperwatt" localSheetId="6">'C'!$B$12</definedName>
    <definedName name="costperwatt" localSheetId="7">D!$B$12</definedName>
    <definedName name="costperwatt">#REF!</definedName>
    <definedName name="DAS_Providers_List">[1]lists!$K$6:$K$25</definedName>
    <definedName name="DebtService" localSheetId="4">A!$86:$86</definedName>
    <definedName name="DebtService" localSheetId="5">B!$86:$86</definedName>
    <definedName name="DebtService" localSheetId="6">'C'!$86:$86</definedName>
    <definedName name="DebtService" localSheetId="7">D!$86:$86</definedName>
    <definedName name="DebtService">#REF!</definedName>
    <definedName name="Degredation" localSheetId="4">A!$B$23</definedName>
    <definedName name="Degredation" localSheetId="5">B!$B$23</definedName>
    <definedName name="Degredation" localSheetId="6">'C'!$B$23</definedName>
    <definedName name="Degredation" localSheetId="7">D!$B$23</definedName>
    <definedName name="Degredation">#REF!</definedName>
    <definedName name="DEP_01" localSheetId="4">A!$G$18</definedName>
    <definedName name="DEP_01" localSheetId="5">B!$G$18</definedName>
    <definedName name="DEP_01" localSheetId="6">'C'!$G$18</definedName>
    <definedName name="DEP_01" localSheetId="7">D!$G$18</definedName>
    <definedName name="DEP_01">#REF!</definedName>
    <definedName name="Dep_02" localSheetId="4">A!$H$18</definedName>
    <definedName name="Dep_02" localSheetId="5">B!$H$18</definedName>
    <definedName name="Dep_02" localSheetId="6">'C'!$H$18</definedName>
    <definedName name="Dep_02" localSheetId="7">D!$H$18</definedName>
    <definedName name="Dep_02">#REF!</definedName>
    <definedName name="Dep_03" localSheetId="4">A!$I$18</definedName>
    <definedName name="Dep_03" localSheetId="5">B!$I$18</definedName>
    <definedName name="Dep_03" localSheetId="6">'C'!$I$18</definedName>
    <definedName name="Dep_03" localSheetId="7">D!$I$18</definedName>
    <definedName name="Dep_03">#REF!</definedName>
    <definedName name="DEP_04" localSheetId="4">A!$J$18</definedName>
    <definedName name="DEP_04" localSheetId="5">B!$J$18</definedName>
    <definedName name="DEP_04" localSheetId="6">'C'!$J$18</definedName>
    <definedName name="DEP_04" localSheetId="7">D!$J$18</definedName>
    <definedName name="DEP_04">#REF!</definedName>
    <definedName name="DEP_05" localSheetId="4">A!$K$18</definedName>
    <definedName name="DEP_05" localSheetId="5">B!$K$18</definedName>
    <definedName name="DEP_05" localSheetId="6">'C'!$K$18</definedName>
    <definedName name="DEP_05" localSheetId="7">D!$K$18</definedName>
    <definedName name="DEP_05">#REF!</definedName>
    <definedName name="DEP_06" localSheetId="4">A!$L$18</definedName>
    <definedName name="DEP_06" localSheetId="5">B!$L$18</definedName>
    <definedName name="DEP_06" localSheetId="6">'C'!$L$18</definedName>
    <definedName name="DEP_06" localSheetId="7">D!$L$18</definedName>
    <definedName name="DEP_06">#REF!</definedName>
    <definedName name="DEP_07" localSheetId="4">A!$M$18</definedName>
    <definedName name="DEP_07" localSheetId="5">B!$M$18</definedName>
    <definedName name="DEP_07" localSheetId="6">'C'!$M$18</definedName>
    <definedName name="DEP_07" localSheetId="7">D!$M$18</definedName>
    <definedName name="DEP_07">#REF!</definedName>
    <definedName name="DEP_08" localSheetId="4">A!$N$18</definedName>
    <definedName name="DEP_08" localSheetId="5">B!$N$18</definedName>
    <definedName name="DEP_08" localSheetId="6">'C'!$N$18</definedName>
    <definedName name="DEP_08" localSheetId="7">D!$N$18</definedName>
    <definedName name="DEP_08">#REF!</definedName>
    <definedName name="DEP_09" localSheetId="4">A!$O$18</definedName>
    <definedName name="DEP_09" localSheetId="5">B!$O$18</definedName>
    <definedName name="DEP_09" localSheetId="6">'C'!$O$18</definedName>
    <definedName name="DEP_09" localSheetId="7">D!$O$18</definedName>
    <definedName name="DEP_09">#REF!</definedName>
    <definedName name="DEP_10" localSheetId="4">A!$P$18</definedName>
    <definedName name="DEP_10" localSheetId="5">B!$P$18</definedName>
    <definedName name="DEP_10" localSheetId="6">'C'!$P$18</definedName>
    <definedName name="DEP_10" localSheetId="7">D!$P$18</definedName>
    <definedName name="DEP_10">#REF!</definedName>
    <definedName name="DEP_11" localSheetId="4">A!$Q$18</definedName>
    <definedName name="DEP_11" localSheetId="5">B!$Q$18</definedName>
    <definedName name="DEP_11" localSheetId="6">'C'!$Q$18</definedName>
    <definedName name="DEP_11" localSheetId="7">D!$Q$18</definedName>
    <definedName name="DEP_11">#REF!</definedName>
    <definedName name="DEP_12" localSheetId="4">A!$R$18</definedName>
    <definedName name="DEP_12" localSheetId="5">B!$R$18</definedName>
    <definedName name="DEP_12" localSheetId="6">'C'!$R$18</definedName>
    <definedName name="DEP_12" localSheetId="7">D!$R$18</definedName>
    <definedName name="DEP_12">#REF!</definedName>
    <definedName name="DEP_13" localSheetId="4">A!$S$18</definedName>
    <definedName name="DEP_13" localSheetId="5">B!$S$18</definedName>
    <definedName name="DEP_13" localSheetId="6">'C'!$S$18</definedName>
    <definedName name="DEP_13" localSheetId="7">D!$S$18</definedName>
    <definedName name="DEP_13">#REF!</definedName>
    <definedName name="DEP_14" localSheetId="4">A!$T$18</definedName>
    <definedName name="DEP_14" localSheetId="5">B!$T$18</definedName>
    <definedName name="DEP_14" localSheetId="6">'C'!$T$18</definedName>
    <definedName name="DEP_14" localSheetId="7">D!$T$18</definedName>
    <definedName name="DEP_14">#REF!</definedName>
    <definedName name="DEP_15" localSheetId="4">A!$U$18</definedName>
    <definedName name="DEP_15" localSheetId="5">B!$U$18</definedName>
    <definedName name="DEP_15" localSheetId="6">'C'!$U$18</definedName>
    <definedName name="DEP_15" localSheetId="7">D!$U$18</definedName>
    <definedName name="DEP_15">#REF!</definedName>
    <definedName name="DEP_16" localSheetId="4">A!$V$18</definedName>
    <definedName name="DEP_16" localSheetId="5">B!$V$18</definedName>
    <definedName name="DEP_16" localSheetId="6">'C'!$V$18</definedName>
    <definedName name="DEP_16" localSheetId="7">D!$V$18</definedName>
    <definedName name="DEP_16">#REF!</definedName>
    <definedName name="DEP_17" localSheetId="4">A!$W$18</definedName>
    <definedName name="DEP_17" localSheetId="5">B!$W$18</definedName>
    <definedName name="DEP_17" localSheetId="6">'C'!$W$18</definedName>
    <definedName name="DEP_17" localSheetId="7">D!$W$18</definedName>
    <definedName name="DEP_17">#REF!</definedName>
    <definedName name="DEP_18" localSheetId="4">A!$X$18</definedName>
    <definedName name="DEP_18" localSheetId="5">B!$X$18</definedName>
    <definedName name="DEP_18" localSheetId="6">'C'!$X$18</definedName>
    <definedName name="DEP_18" localSheetId="7">D!$X$18</definedName>
    <definedName name="DEP_18">#REF!</definedName>
    <definedName name="DEP_19" localSheetId="4">A!$Y$18</definedName>
    <definedName name="DEP_19" localSheetId="5">B!$Y$18</definedName>
    <definedName name="DEP_19" localSheetId="6">'C'!$Y$18</definedName>
    <definedName name="DEP_19" localSheetId="7">D!$Y$18</definedName>
    <definedName name="DEP_19">#REF!</definedName>
    <definedName name="DEP_20" localSheetId="4">A!$Z$18</definedName>
    <definedName name="DEP_20" localSheetId="5">B!$Z$18</definedName>
    <definedName name="DEP_20" localSheetId="6">'C'!$Z$18</definedName>
    <definedName name="DEP_20" localSheetId="7">D!$Z$18</definedName>
    <definedName name="DEP_20">#REF!</definedName>
    <definedName name="DEP_21" localSheetId="4">A!$AA$18</definedName>
    <definedName name="DEP_21" localSheetId="5">B!$AA$18</definedName>
    <definedName name="DEP_21" localSheetId="6">'C'!$AA$18</definedName>
    <definedName name="DEP_21" localSheetId="7">D!$AA$18</definedName>
    <definedName name="DEP_21">#REF!</definedName>
    <definedName name="DEP_22" localSheetId="4">A!$AB$18</definedName>
    <definedName name="DEP_22" localSheetId="5">B!$AB$18</definedName>
    <definedName name="DEP_22" localSheetId="6">'C'!$AB$18</definedName>
    <definedName name="DEP_22" localSheetId="7">D!$AB$18</definedName>
    <definedName name="DEP_22">#REF!</definedName>
    <definedName name="DEP_23" localSheetId="4">A!$AC$18</definedName>
    <definedName name="DEP_23" localSheetId="5">B!$AC$18</definedName>
    <definedName name="DEP_23" localSheetId="6">'C'!$AC$18</definedName>
    <definedName name="DEP_23" localSheetId="7">D!$AC$18</definedName>
    <definedName name="DEP_23">#REF!</definedName>
    <definedName name="DEP_24" localSheetId="4">A!$AD$18</definedName>
    <definedName name="DEP_24" localSheetId="5">B!$AD$18</definedName>
    <definedName name="DEP_24" localSheetId="6">'C'!$AD$18</definedName>
    <definedName name="DEP_24" localSheetId="7">D!$AD$18</definedName>
    <definedName name="DEP_24">#REF!</definedName>
    <definedName name="DEP_25" localSheetId="4">A!$AE$18</definedName>
    <definedName name="DEP_25" localSheetId="5">B!$AE$18</definedName>
    <definedName name="DEP_25" localSheetId="6">'C'!$AE$18</definedName>
    <definedName name="DEP_25" localSheetId="7">D!$AE$18</definedName>
    <definedName name="DEP_25">#REF!</definedName>
    <definedName name="DEP_26" localSheetId="4">A!$AF$18</definedName>
    <definedName name="DEP_26" localSheetId="5">B!$AF$18</definedName>
    <definedName name="DEP_26" localSheetId="6">'C'!$AF$18</definedName>
    <definedName name="DEP_26" localSheetId="7">D!$AF$18</definedName>
    <definedName name="DEP_26">#REF!</definedName>
    <definedName name="DEP_27" localSheetId="4">A!$AG$18</definedName>
    <definedName name="DEP_27" localSheetId="5">B!$AG$18</definedName>
    <definedName name="DEP_27" localSheetId="6">'C'!$AG$18</definedName>
    <definedName name="DEP_27" localSheetId="7">D!$AG$18</definedName>
    <definedName name="DEP_27">#REF!</definedName>
    <definedName name="DEP_28" localSheetId="4">A!$AH$18</definedName>
    <definedName name="DEP_28" localSheetId="5">B!$AH$18</definedName>
    <definedName name="DEP_28" localSheetId="6">'C'!$AH$18</definedName>
    <definedName name="DEP_28" localSheetId="7">D!$AH$18</definedName>
    <definedName name="DEP_28">#REF!</definedName>
    <definedName name="DEP_29" localSheetId="4">A!$AI$18</definedName>
    <definedName name="DEP_29" localSheetId="5">B!$AI$18</definedName>
    <definedName name="DEP_29" localSheetId="6">'C'!$AI$18</definedName>
    <definedName name="DEP_29" localSheetId="7">D!$AI$18</definedName>
    <definedName name="DEP_29">#REF!</definedName>
    <definedName name="DEP_30" localSheetId="4">A!$AJ$18</definedName>
    <definedName name="DEP_30" localSheetId="5">B!$AJ$18</definedName>
    <definedName name="DEP_30" localSheetId="6">'C'!$AJ$18</definedName>
    <definedName name="DEP_30" localSheetId="7">D!$AJ$18</definedName>
    <definedName name="DEP_30">#REF!</definedName>
    <definedName name="DepreciationLife" localSheetId="4">A!$B$25</definedName>
    <definedName name="DepreciationLife" localSheetId="5">B!$B$25</definedName>
    <definedName name="DepreciationLife" localSheetId="6">'C'!$B$25</definedName>
    <definedName name="DepreciationLife" localSheetId="7">D!$B$25</definedName>
    <definedName name="DepreciationLife">#REF!</definedName>
    <definedName name="EBT" localSheetId="4">A!$63:$63</definedName>
    <definedName name="EBT" localSheetId="5">B!$63:$63</definedName>
    <definedName name="EBT" localSheetId="6">'C'!$63:$63</definedName>
    <definedName name="EBT" localSheetId="7">D!$63:$63</definedName>
    <definedName name="EBT">#REF!</definedName>
    <definedName name="elecRev" localSheetId="4">A!$B$29</definedName>
    <definedName name="elecRev" localSheetId="5">B!$B$29</definedName>
    <definedName name="elecRev" localSheetId="6">'C'!$B$29</definedName>
    <definedName name="elecRev" localSheetId="7">D!$B$29</definedName>
    <definedName name="elecRev">#REF!</definedName>
    <definedName name="ElecRevAdj" localSheetId="4">A!$B$30</definedName>
    <definedName name="ElecRevAdj" localSheetId="5">B!$B$30</definedName>
    <definedName name="ElecRevAdj" localSheetId="6">'C'!$B$30</definedName>
    <definedName name="ElecRevAdj" localSheetId="7">D!$B$30</definedName>
    <definedName name="ElecRevAdj">#REF!</definedName>
    <definedName name="Facility_Type">'[2]Drop-Down Lists'!$A$2:$A$15</definedName>
    <definedName name="FedDepr" localSheetId="4">A!$60:$60</definedName>
    <definedName name="FedDepr" localSheetId="5">B!$60:$60</definedName>
    <definedName name="FedDepr" localSheetId="6">'C'!$60:$60</definedName>
    <definedName name="FedDepr" localSheetId="7">D!$60:$60</definedName>
    <definedName name="FedDepr">#REF!</definedName>
    <definedName name="FedTaxCredit" localSheetId="4">A!$G$14</definedName>
    <definedName name="FedTaxCredit" localSheetId="5">B!$G$14</definedName>
    <definedName name="FedTaxCredit" localSheetId="6">'C'!$G$14</definedName>
    <definedName name="FedTaxCredit" localSheetId="7">D!$G$14</definedName>
    <definedName name="FedTaxCredit">#REF!</definedName>
    <definedName name="FedTaxCreditAmt" localSheetId="4">A!$E$72</definedName>
    <definedName name="FedTaxCreditAmt" localSheetId="5">B!$E$72</definedName>
    <definedName name="FedTaxCreditAmt" localSheetId="6">'C'!$E$72</definedName>
    <definedName name="FedTaxCreditAmt" localSheetId="7">D!$E$72</definedName>
    <definedName name="FedTaxCreditAmt">#REF!</definedName>
    <definedName name="FedTaxRate" localSheetId="4">A!$G$11</definedName>
    <definedName name="FedTaxRate" localSheetId="5">B!$G$11</definedName>
    <definedName name="FedTaxRate" localSheetId="6">'C'!$G$11</definedName>
    <definedName name="FedTaxRate" localSheetId="7">D!$G$11</definedName>
    <definedName name="FedTaxRate">#REF!</definedName>
    <definedName name="Generation" localSheetId="4">A!$45:$45</definedName>
    <definedName name="Generation" localSheetId="5">B!$45:$45</definedName>
    <definedName name="Generation" localSheetId="6">'C'!$45:$45</definedName>
    <definedName name="Generation" localSheetId="7">D!$45:$45</definedName>
    <definedName name="Generation">#REF!</definedName>
    <definedName name="Independent_Verifier">'[2]Drop-Down Lists'!$H$2</definedName>
    <definedName name="Interest" localSheetId="4">A!$88:$88</definedName>
    <definedName name="Interest" localSheetId="5">B!$88:$88</definedName>
    <definedName name="Interest" localSheetId="6">'C'!$88:$88</definedName>
    <definedName name="Interest" localSheetId="7">D!$88:$88</definedName>
    <definedName name="Interest">#REF!</definedName>
    <definedName name="InverterReplaceCost" localSheetId="4">A!$B$34</definedName>
    <definedName name="InverterReplaceCost" localSheetId="5">B!$B$34</definedName>
    <definedName name="InverterReplaceCost" localSheetId="6">'C'!$B$34</definedName>
    <definedName name="InverterReplaceCost" localSheetId="7">D!$B$34</definedName>
    <definedName name="InverterReplaceCost">#REF!</definedName>
    <definedName name="LoanAmount" localSheetId="4">A!$G$30</definedName>
    <definedName name="LoanAmount" localSheetId="5">B!$G$30</definedName>
    <definedName name="LoanAmount" localSheetId="6">'C'!$G$30</definedName>
    <definedName name="LoanAmount" localSheetId="7">D!$G$30</definedName>
    <definedName name="LoanAmount">#REF!</definedName>
    <definedName name="LoanInterest" localSheetId="4">A!$G$27</definedName>
    <definedName name="LoanInterest" localSheetId="5">B!$G$27</definedName>
    <definedName name="LoanInterest" localSheetId="6">'C'!$G$27</definedName>
    <definedName name="LoanInterest" localSheetId="7">D!$G$27</definedName>
    <definedName name="LoanInterest">#REF!</definedName>
    <definedName name="LoanPer" localSheetId="4">A!$G$26</definedName>
    <definedName name="LoanPer" localSheetId="5">B!$G$26</definedName>
    <definedName name="LoanPer" localSheetId="6">'C'!$G$26</definedName>
    <definedName name="LoanPer" localSheetId="7">D!$G$26</definedName>
    <definedName name="LoanPer">#REF!</definedName>
    <definedName name="LoanTerm" localSheetId="4">A!$G$28</definedName>
    <definedName name="LoanTerm" localSheetId="5">B!$G$28</definedName>
    <definedName name="LoanTerm" localSheetId="6">'C'!$G$28</definedName>
    <definedName name="LoanTerm" localSheetId="7">D!$G$28</definedName>
    <definedName name="LoanTerm">#REF!</definedName>
    <definedName name="Market_Sheet_1">#REF!</definedName>
    <definedName name="NetCost" localSheetId="4">A!$G$29</definedName>
    <definedName name="NetCost" localSheetId="5">B!$G$29</definedName>
    <definedName name="NetCost" localSheetId="6">'C'!$G$29</definedName>
    <definedName name="NetCost" localSheetId="7">D!$G$29</definedName>
    <definedName name="NetCost">#REF!</definedName>
    <definedName name="Official_Names">'[2]Drop-Down Lists'!$F$2:$F$352</definedName>
    <definedName name="OMFactor" localSheetId="4">A!$B$31</definedName>
    <definedName name="OMFactor" localSheetId="5">B!$B$31</definedName>
    <definedName name="OMFactor" localSheetId="6">'C'!$B$31</definedName>
    <definedName name="OMFactor" localSheetId="7">D!$B$31</definedName>
    <definedName name="OMFactor">#REF!</definedName>
    <definedName name="OpCost_Yr" localSheetId="4">A!$B$32</definedName>
    <definedName name="OpCost_Yr" localSheetId="5">B!$B$32</definedName>
    <definedName name="OpCost_Yr" localSheetId="6">'C'!$B$32</definedName>
    <definedName name="OpCost_Yr" localSheetId="7">D!$B$32</definedName>
    <definedName name="OpCost_Yr">#REF!</definedName>
    <definedName name="OpCostAdj_Yr" localSheetId="4">A!$B$33</definedName>
    <definedName name="OpCostAdj_Yr" localSheetId="5">B!$B$33</definedName>
    <definedName name="OpCostAdj_Yr" localSheetId="6">'C'!$B$33</definedName>
    <definedName name="OpCostAdj_Yr" localSheetId="7">D!$B$33</definedName>
    <definedName name="OpCostAdj_Yr">#REF!</definedName>
    <definedName name="OptInTerm" localSheetId="4">A!#REF!</definedName>
    <definedName name="OptInTerm" localSheetId="5">B!#REF!</definedName>
    <definedName name="OptInTerm" localSheetId="6">'C'!#REF!</definedName>
    <definedName name="OptInTerm" localSheetId="7">D!#REF!</definedName>
    <definedName name="OptInTerm">#REF!</definedName>
    <definedName name="Orientation_Type">'[2]Drop-Down Lists'!$B$2:$B$4</definedName>
    <definedName name="price_sheet_1">#REF!</definedName>
    <definedName name="Principle" localSheetId="4">A!$87:$87</definedName>
    <definedName name="Principle" localSheetId="5">B!$87:$87</definedName>
    <definedName name="Principle" localSheetId="6">'C'!$87:$87</definedName>
    <definedName name="Principle" localSheetId="7">D!$87:$87</definedName>
    <definedName name="Principle">#REF!</definedName>
    <definedName name="_xlnm.Print_Area" localSheetId="4">A!$A$1:$X$119</definedName>
    <definedName name="_xlnm.Print_Area" localSheetId="5">B!$A$1:$X$119</definedName>
    <definedName name="_xlnm.Print_Area" localSheetId="6">'C'!$A$1:$X$119</definedName>
    <definedName name="_xlnm.Print_Area" localSheetId="7">D!$A$1:$X$119</definedName>
    <definedName name="_xlnm.Print_Titles" localSheetId="4">A!$1:$1</definedName>
    <definedName name="_xlnm.Print_Titles" localSheetId="5">B!$1:$1</definedName>
    <definedName name="_xlnm.Print_Titles" localSheetId="6">'C'!$1:$1</definedName>
    <definedName name="_xlnm.Print_Titles" localSheetId="7">D!$1:$1</definedName>
    <definedName name="projectlife" localSheetId="4">A!$B$24</definedName>
    <definedName name="projectlife" localSheetId="5">B!$B$24</definedName>
    <definedName name="projectlife" localSheetId="6">'C'!$B$24</definedName>
    <definedName name="projectlife" localSheetId="7">D!$B$24</definedName>
    <definedName name="projectlife">#REF!</definedName>
    <definedName name="ProjectYear" localSheetId="4">A!$44:$44</definedName>
    <definedName name="ProjectYear" localSheetId="5">B!$44:$44</definedName>
    <definedName name="ProjectYear" localSheetId="6">'C'!$44:$44</definedName>
    <definedName name="ProjectYear" localSheetId="7">D!$44:$44</definedName>
    <definedName name="ProjectYear">#REF!</definedName>
    <definedName name="Rebate" localSheetId="4">A!$B$18</definedName>
    <definedName name="Rebate" localSheetId="5">B!$B$18</definedName>
    <definedName name="Rebate" localSheetId="6">'C'!$B$18</definedName>
    <definedName name="Rebate" localSheetId="7">D!$B$18</definedName>
    <definedName name="Rebate">#REF!</definedName>
    <definedName name="rebateperwatt">#REF!</definedName>
    <definedName name="RECRevAdj" localSheetId="4">A!#REF!</definedName>
    <definedName name="RECRevAdj" localSheetId="5">B!#REF!</definedName>
    <definedName name="RECRevAdj" localSheetId="6">'C'!#REF!</definedName>
    <definedName name="RECRevAdj" localSheetId="7">D!#REF!</definedName>
    <definedName name="RECRevAdj">#REF!</definedName>
    <definedName name="RECRevperKwh" localSheetId="4">A!#REF!</definedName>
    <definedName name="RECRevperKwh" localSheetId="5">B!#REF!</definedName>
    <definedName name="RECRevperKwh" localSheetId="6">'C'!#REF!</definedName>
    <definedName name="RECRevperKwh" localSheetId="7">D!#REF!</definedName>
    <definedName name="RECRevperKwh">#REF!</definedName>
    <definedName name="RECRevTerm" localSheetId="4">A!#REF!</definedName>
    <definedName name="RECRevTerm" localSheetId="5">B!#REF!</definedName>
    <definedName name="RECRevTerm" localSheetId="6">'C'!#REF!</definedName>
    <definedName name="RECRevTerm" localSheetId="7">D!#REF!</definedName>
    <definedName name="RECRevTerm">#REF!</definedName>
    <definedName name="ReplaceInverterYear" localSheetId="4">A!$B$35</definedName>
    <definedName name="ReplaceInverterYear" localSheetId="5">B!$B$35</definedName>
    <definedName name="ReplaceInverterYear" localSheetId="6">'C'!$B$35</definedName>
    <definedName name="ReplaceInverterYear" localSheetId="7">D!$B$35</definedName>
    <definedName name="ReplaceInverterYear">#REF!</definedName>
    <definedName name="RooforGround">'[3]Drop-Down Lists'!$J$2:$J$4</definedName>
    <definedName name="solver_adj" localSheetId="4" hidden="1">A!#REF!</definedName>
    <definedName name="solver_adj" localSheetId="5" hidden="1">B!#REF!</definedName>
    <definedName name="solver_adj" localSheetId="6" hidden="1">'C'!#REF!</definedName>
    <definedName name="solver_adj" localSheetId="7" hidden="1">D!#REF!</definedName>
    <definedName name="solver_cvg" localSheetId="4" hidden="1">0.0001</definedName>
    <definedName name="solver_cvg" localSheetId="5" hidden="1">0.0001</definedName>
    <definedName name="solver_cvg" localSheetId="6" hidden="1">0.0001</definedName>
    <definedName name="solver_cvg" localSheetId="7" hidden="1">0.0001</definedName>
    <definedName name="solver_drv" localSheetId="4" hidden="1">1</definedName>
    <definedName name="solver_drv" localSheetId="5" hidden="1">1</definedName>
    <definedName name="solver_drv" localSheetId="6" hidden="1">1</definedName>
    <definedName name="solver_drv" localSheetId="7" hidden="1">1</definedName>
    <definedName name="solver_est" localSheetId="4" hidden="1">1</definedName>
    <definedName name="solver_est" localSheetId="5" hidden="1">1</definedName>
    <definedName name="solver_est" localSheetId="6" hidden="1">1</definedName>
    <definedName name="solver_est" localSheetId="7" hidden="1">1</definedName>
    <definedName name="solver_itr" localSheetId="4" hidden="1">100</definedName>
    <definedName name="solver_itr" localSheetId="5" hidden="1">100</definedName>
    <definedName name="solver_itr" localSheetId="6" hidden="1">100</definedName>
    <definedName name="solver_itr" localSheetId="7" hidden="1">100</definedName>
    <definedName name="solver_lin" localSheetId="4" hidden="1">2</definedName>
    <definedName name="solver_lin" localSheetId="5" hidden="1">2</definedName>
    <definedName name="solver_lin" localSheetId="6" hidden="1">2</definedName>
    <definedName name="solver_lin" localSheetId="7" hidden="1">2</definedName>
    <definedName name="solver_neg" localSheetId="4" hidden="1">2</definedName>
    <definedName name="solver_neg" localSheetId="5" hidden="1">2</definedName>
    <definedName name="solver_neg" localSheetId="6" hidden="1">2</definedName>
    <definedName name="solver_neg" localSheetId="7" hidden="1">2</definedName>
    <definedName name="solver_num" localSheetId="4" hidden="1">0</definedName>
    <definedName name="solver_num" localSheetId="5" hidden="1">0</definedName>
    <definedName name="solver_num" localSheetId="6" hidden="1">0</definedName>
    <definedName name="solver_num" localSheetId="7" hidden="1">0</definedName>
    <definedName name="solver_nwt" localSheetId="4" hidden="1">1</definedName>
    <definedName name="solver_nwt" localSheetId="5" hidden="1">1</definedName>
    <definedName name="solver_nwt" localSheetId="6" hidden="1">1</definedName>
    <definedName name="solver_nwt" localSheetId="7" hidden="1">1</definedName>
    <definedName name="solver_opt" localSheetId="4" hidden="1">A!#REF!</definedName>
    <definedName name="solver_opt" localSheetId="5" hidden="1">B!#REF!</definedName>
    <definedName name="solver_opt" localSheetId="6" hidden="1">'C'!#REF!</definedName>
    <definedName name="solver_opt" localSheetId="7" hidden="1">D!#REF!</definedName>
    <definedName name="solver_pre" localSheetId="4" hidden="1">0.000001</definedName>
    <definedName name="solver_pre" localSheetId="5" hidden="1">0.000001</definedName>
    <definedName name="solver_pre" localSheetId="6" hidden="1">0.000001</definedName>
    <definedName name="solver_pre" localSheetId="7" hidden="1">0.000001</definedName>
    <definedName name="solver_scl" localSheetId="4" hidden="1">2</definedName>
    <definedName name="solver_scl" localSheetId="5" hidden="1">2</definedName>
    <definedName name="solver_scl" localSheetId="6" hidden="1">2</definedName>
    <definedName name="solver_scl" localSheetId="7" hidden="1">2</definedName>
    <definedName name="solver_sho" localSheetId="4" hidden="1">2</definedName>
    <definedName name="solver_sho" localSheetId="5" hidden="1">2</definedName>
    <definedName name="solver_sho" localSheetId="6" hidden="1">2</definedName>
    <definedName name="solver_sho" localSheetId="7" hidden="1">2</definedName>
    <definedName name="solver_tim" localSheetId="4" hidden="1">100</definedName>
    <definedName name="solver_tim" localSheetId="5" hidden="1">100</definedName>
    <definedName name="solver_tim" localSheetId="6" hidden="1">100</definedName>
    <definedName name="solver_tim" localSheetId="7" hidden="1">100</definedName>
    <definedName name="solver_tol" localSheetId="4" hidden="1">0.05</definedName>
    <definedName name="solver_tol" localSheetId="5" hidden="1">0.05</definedName>
    <definedName name="solver_tol" localSheetId="6" hidden="1">0.05</definedName>
    <definedName name="solver_tol" localSheetId="7" hidden="1">0.05</definedName>
    <definedName name="solver_typ" localSheetId="4" hidden="1">1</definedName>
    <definedName name="solver_typ" localSheetId="5" hidden="1">1</definedName>
    <definedName name="solver_typ" localSheetId="6" hidden="1">1</definedName>
    <definedName name="solver_typ" localSheetId="7" hidden="1">1</definedName>
    <definedName name="solver_val" localSheetId="4" hidden="1">1476</definedName>
    <definedName name="solver_val" localSheetId="5" hidden="1">1476</definedName>
    <definedName name="solver_val" localSheetId="6" hidden="1">1476</definedName>
    <definedName name="solver_val" localSheetId="7" hidden="1">1476</definedName>
    <definedName name="State_Abbreviations">'[2]Drop-Down Lists'!$E$2:$E$51</definedName>
    <definedName name="StateTaxAdj" localSheetId="4">A!$65:$65</definedName>
    <definedName name="StateTaxAdj" localSheetId="5">B!$65:$65</definedName>
    <definedName name="StateTaxAdj" localSheetId="6">'C'!$65:$65</definedName>
    <definedName name="StateTaxAdj" localSheetId="7">D!$65:$65</definedName>
    <definedName name="StateTaxAdj">#REF!</definedName>
    <definedName name="StateTaxDed" localSheetId="4">A!$G$15</definedName>
    <definedName name="StateTaxDed" localSheetId="5">B!$G$15</definedName>
    <definedName name="StateTaxDed" localSheetId="6">'C'!$G$15</definedName>
    <definedName name="StateTaxDed" localSheetId="7">D!$G$15</definedName>
    <definedName name="StateTaxDed">#REF!</definedName>
    <definedName name="StateTaxRate" localSheetId="4">A!$G$12</definedName>
    <definedName name="StateTaxRate" localSheetId="5">B!$G$12</definedName>
    <definedName name="StateTaxRate" localSheetId="6">'C'!$G$12</definedName>
    <definedName name="StateTaxRate" localSheetId="7">D!$G$12</definedName>
    <definedName name="StateTaxRate">#REF!</definedName>
    <definedName name="SysCost" localSheetId="4">A!$B$13</definedName>
    <definedName name="SysCost" localSheetId="5">B!$B$13</definedName>
    <definedName name="SysCost" localSheetId="6">'C'!$B$13</definedName>
    <definedName name="SysCost" localSheetId="7">D!$B$13</definedName>
    <definedName name="SysCost">#REF!</definedName>
    <definedName name="syssize">#REF!</definedName>
    <definedName name="syssize_rebate">#REF!</definedName>
    <definedName name="System_Azimuth">'[2]Drop-Down Lists'!$C$2:$C$182</definedName>
    <definedName name="System_Inclination">'[2]Drop-Down Lists'!$D$2:$D$92</definedName>
    <definedName name="SystemSize" localSheetId="4">A!$B$11</definedName>
    <definedName name="SystemSize" localSheetId="5">B!$B$11</definedName>
    <definedName name="SystemSize" localSheetId="6">'C'!$B$11</definedName>
    <definedName name="SystemSize" localSheetId="7">D!$B$11</definedName>
    <definedName name="SystemSize">#REF!</definedName>
    <definedName name="taxable" localSheetId="4">A!$B$9</definedName>
    <definedName name="taxable" localSheetId="5">B!$B$9</definedName>
    <definedName name="taxable" localSheetId="6">'C'!$B$9</definedName>
    <definedName name="taxable" localSheetId="7">D!$B$9</definedName>
    <definedName name="taxable">#REF!</definedName>
    <definedName name="time_sheet_1">#REF!</definedName>
    <definedName name="Utility_Providers">'[2]Drop-Down Lists'!$G$2:$G$6</definedName>
    <definedName name="Year">#REF!</definedName>
    <definedName name="Year_Sheet_1">#REF!</definedName>
  </definedNames>
  <calcPr calcId="191029" concurrentCalc="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28" l="1"/>
  <c r="G10" i="28"/>
  <c r="N11" i="28"/>
  <c r="M11" i="28"/>
  <c r="F13" i="28"/>
  <c r="B9" i="166"/>
  <c r="G14" i="166"/>
  <c r="S11" i="28"/>
  <c r="G25" i="166"/>
  <c r="G26" i="166"/>
  <c r="B9" i="167"/>
  <c r="G14" i="167"/>
  <c r="S12" i="28"/>
  <c r="G25" i="167"/>
  <c r="G26" i="167"/>
  <c r="B9" i="168"/>
  <c r="G14" i="168"/>
  <c r="S13" i="28"/>
  <c r="G25" i="168"/>
  <c r="G26" i="168"/>
  <c r="B9" i="89"/>
  <c r="G14" i="89"/>
  <c r="S10" i="28"/>
  <c r="G25" i="89"/>
  <c r="G26" i="89"/>
  <c r="B15" i="167"/>
  <c r="B14" i="167"/>
  <c r="C158" i="167"/>
  <c r="C68" i="169"/>
  <c r="J6" i="172"/>
  <c r="B15" i="168"/>
  <c r="B14" i="168"/>
  <c r="B12" i="168"/>
  <c r="B11" i="168"/>
  <c r="B13" i="168"/>
  <c r="H14" i="168"/>
  <c r="C158" i="168"/>
  <c r="C89" i="169"/>
  <c r="J7" i="172"/>
  <c r="B142" i="168"/>
  <c r="E64" i="168"/>
  <c r="E65" i="168"/>
  <c r="E66" i="168"/>
  <c r="E68" i="168"/>
  <c r="E70" i="168"/>
  <c r="E71" i="168"/>
  <c r="B19" i="168"/>
  <c r="E72" i="168"/>
  <c r="E73" i="168"/>
  <c r="G29" i="168"/>
  <c r="G30" i="168"/>
  <c r="E75" i="168"/>
  <c r="E77" i="168"/>
  <c r="E79" i="168"/>
  <c r="E142" i="168"/>
  <c r="B27" i="168"/>
  <c r="F45" i="168"/>
  <c r="B16" i="168"/>
  <c r="F46" i="168"/>
  <c r="B26" i="168"/>
  <c r="F51" i="168"/>
  <c r="F52" i="168"/>
  <c r="B36" i="168"/>
  <c r="B29" i="168"/>
  <c r="B30" i="168"/>
  <c r="F50" i="168"/>
  <c r="F53" i="168"/>
  <c r="B38" i="168"/>
  <c r="F54" i="168"/>
  <c r="F55" i="168"/>
  <c r="B32" i="168"/>
  <c r="F56" i="168"/>
  <c r="F57" i="168"/>
  <c r="F58" i="168"/>
  <c r="F59" i="168"/>
  <c r="F60" i="168"/>
  <c r="F61" i="168"/>
  <c r="G28" i="168"/>
  <c r="F85" i="168"/>
  <c r="G27" i="168"/>
  <c r="F88" i="168"/>
  <c r="F62" i="168"/>
  <c r="F63" i="168"/>
  <c r="F64" i="168"/>
  <c r="F65" i="168"/>
  <c r="F66" i="168"/>
  <c r="F68" i="168"/>
  <c r="F70" i="168"/>
  <c r="F73" i="168"/>
  <c r="F86" i="168"/>
  <c r="F87" i="168"/>
  <c r="F76" i="168"/>
  <c r="F77" i="168"/>
  <c r="F79" i="168"/>
  <c r="F142" i="168"/>
  <c r="G45" i="168"/>
  <c r="G46" i="168"/>
  <c r="G51" i="168"/>
  <c r="G52" i="168"/>
  <c r="G50" i="168"/>
  <c r="G53" i="168"/>
  <c r="G54" i="168"/>
  <c r="G55" i="168"/>
  <c r="G56" i="168"/>
  <c r="G57" i="168"/>
  <c r="G58" i="168"/>
  <c r="G59" i="168"/>
  <c r="G60" i="168"/>
  <c r="G61" i="168"/>
  <c r="F89" i="168"/>
  <c r="G85" i="168"/>
  <c r="G88" i="168"/>
  <c r="G62" i="168"/>
  <c r="G63" i="168"/>
  <c r="G64" i="168"/>
  <c r="G65" i="168"/>
  <c r="G66" i="168"/>
  <c r="G68" i="168"/>
  <c r="G70" i="168"/>
  <c r="G73" i="168"/>
  <c r="G86" i="168"/>
  <c r="G87" i="168"/>
  <c r="G76" i="168"/>
  <c r="G77" i="168"/>
  <c r="G79" i="168"/>
  <c r="G142" i="168"/>
  <c r="H45" i="168"/>
  <c r="H46" i="168"/>
  <c r="H51" i="168"/>
  <c r="H52" i="168"/>
  <c r="H50" i="168"/>
  <c r="H53" i="168"/>
  <c r="H54" i="168"/>
  <c r="H55" i="168"/>
  <c r="H56" i="168"/>
  <c r="H57" i="168"/>
  <c r="H58" i="168"/>
  <c r="H59" i="168"/>
  <c r="H60" i="168"/>
  <c r="H61" i="168"/>
  <c r="G89" i="168"/>
  <c r="H85" i="168"/>
  <c r="H88" i="168"/>
  <c r="H62" i="168"/>
  <c r="H63" i="168"/>
  <c r="H64" i="168"/>
  <c r="H65" i="168"/>
  <c r="H66" i="168"/>
  <c r="H68" i="168"/>
  <c r="H70" i="168"/>
  <c r="H73" i="168"/>
  <c r="H86" i="168"/>
  <c r="H87" i="168"/>
  <c r="H76" i="168"/>
  <c r="H77" i="168"/>
  <c r="H79" i="168"/>
  <c r="H142" i="168"/>
  <c r="I45" i="168"/>
  <c r="I46" i="168"/>
  <c r="I51" i="168"/>
  <c r="I52" i="168"/>
  <c r="I50" i="168"/>
  <c r="I53" i="168"/>
  <c r="I54" i="168"/>
  <c r="I55" i="168"/>
  <c r="I56" i="168"/>
  <c r="I57" i="168"/>
  <c r="I58" i="168"/>
  <c r="I59" i="168"/>
  <c r="I60" i="168"/>
  <c r="I61" i="168"/>
  <c r="H89" i="168"/>
  <c r="I85" i="168"/>
  <c r="I88" i="168"/>
  <c r="I62" i="168"/>
  <c r="I63" i="168"/>
  <c r="I64" i="168"/>
  <c r="I65" i="168"/>
  <c r="I66" i="168"/>
  <c r="I68" i="168"/>
  <c r="I70" i="168"/>
  <c r="I73" i="168"/>
  <c r="I86" i="168"/>
  <c r="I87" i="168"/>
  <c r="I76" i="168"/>
  <c r="I77" i="168"/>
  <c r="I79" i="168"/>
  <c r="I142" i="168"/>
  <c r="J45" i="168"/>
  <c r="J46" i="168"/>
  <c r="J51" i="168"/>
  <c r="J52" i="168"/>
  <c r="J50" i="168"/>
  <c r="J53" i="168"/>
  <c r="J54" i="168"/>
  <c r="J55" i="168"/>
  <c r="J56" i="168"/>
  <c r="J57" i="168"/>
  <c r="J58" i="168"/>
  <c r="J59" i="168"/>
  <c r="J60" i="168"/>
  <c r="J61" i="168"/>
  <c r="I89" i="168"/>
  <c r="J85" i="168"/>
  <c r="J88" i="168"/>
  <c r="J62" i="168"/>
  <c r="J63" i="168"/>
  <c r="J64" i="168"/>
  <c r="J65" i="168"/>
  <c r="J66" i="168"/>
  <c r="J68" i="168"/>
  <c r="J70" i="168"/>
  <c r="J73" i="168"/>
  <c r="J86" i="168"/>
  <c r="J87" i="168"/>
  <c r="J76" i="168"/>
  <c r="J77" i="168"/>
  <c r="J79" i="168"/>
  <c r="J142" i="168"/>
  <c r="K45" i="168"/>
  <c r="K46" i="168"/>
  <c r="K51" i="168"/>
  <c r="K52" i="168"/>
  <c r="K50" i="168"/>
  <c r="K53" i="168"/>
  <c r="K54" i="168"/>
  <c r="K55" i="168"/>
  <c r="K56" i="168"/>
  <c r="K57" i="168"/>
  <c r="K58" i="168"/>
  <c r="K59" i="168"/>
  <c r="K60" i="168"/>
  <c r="K61" i="168"/>
  <c r="J89" i="168"/>
  <c r="K85" i="168"/>
  <c r="K88" i="168"/>
  <c r="K62" i="168"/>
  <c r="K63" i="168"/>
  <c r="K64" i="168"/>
  <c r="K65" i="168"/>
  <c r="K66" i="168"/>
  <c r="K68" i="168"/>
  <c r="K70" i="168"/>
  <c r="K73" i="168"/>
  <c r="K86" i="168"/>
  <c r="K87" i="168"/>
  <c r="K76" i="168"/>
  <c r="K77" i="168"/>
  <c r="K79" i="168"/>
  <c r="K142" i="168"/>
  <c r="L45" i="168"/>
  <c r="L46" i="168"/>
  <c r="L51" i="168"/>
  <c r="L52" i="168"/>
  <c r="L50" i="168"/>
  <c r="L53" i="168"/>
  <c r="L54" i="168"/>
  <c r="L55" i="168"/>
  <c r="L56" i="168"/>
  <c r="L57" i="168"/>
  <c r="L58" i="168"/>
  <c r="L59" i="168"/>
  <c r="L60" i="168"/>
  <c r="L61" i="168"/>
  <c r="K89" i="168"/>
  <c r="L85" i="168"/>
  <c r="L88" i="168"/>
  <c r="L62" i="168"/>
  <c r="L63" i="168"/>
  <c r="L64" i="168"/>
  <c r="L65" i="168"/>
  <c r="L66" i="168"/>
  <c r="L68" i="168"/>
  <c r="L70" i="168"/>
  <c r="L73" i="168"/>
  <c r="L86" i="168"/>
  <c r="L87" i="168"/>
  <c r="L76" i="168"/>
  <c r="L77" i="168"/>
  <c r="L79" i="168"/>
  <c r="L142" i="168"/>
  <c r="M45" i="168"/>
  <c r="M46" i="168"/>
  <c r="M51" i="168"/>
  <c r="M52" i="168"/>
  <c r="M50" i="168"/>
  <c r="M53" i="168"/>
  <c r="M54" i="168"/>
  <c r="M55" i="168"/>
  <c r="M56" i="168"/>
  <c r="M57" i="168"/>
  <c r="M58" i="168"/>
  <c r="M59" i="168"/>
  <c r="M60" i="168"/>
  <c r="M61" i="168"/>
  <c r="L89" i="168"/>
  <c r="M85" i="168"/>
  <c r="M88" i="168"/>
  <c r="M62" i="168"/>
  <c r="M63" i="168"/>
  <c r="M64" i="168"/>
  <c r="M65" i="168"/>
  <c r="M66" i="168"/>
  <c r="M68" i="168"/>
  <c r="M70" i="168"/>
  <c r="M73" i="168"/>
  <c r="M86" i="168"/>
  <c r="M87" i="168"/>
  <c r="M76" i="168"/>
  <c r="M77" i="168"/>
  <c r="M79" i="168"/>
  <c r="M142" i="168"/>
  <c r="N45" i="168"/>
  <c r="N46" i="168"/>
  <c r="N51" i="168"/>
  <c r="N52" i="168"/>
  <c r="N50" i="168"/>
  <c r="N53" i="168"/>
  <c r="N54" i="168"/>
  <c r="N55" i="168"/>
  <c r="N56" i="168"/>
  <c r="N57" i="168"/>
  <c r="N58" i="168"/>
  <c r="N59" i="168"/>
  <c r="N60" i="168"/>
  <c r="N61" i="168"/>
  <c r="M89" i="168"/>
  <c r="N85" i="168"/>
  <c r="N88" i="168"/>
  <c r="N62" i="168"/>
  <c r="N63" i="168"/>
  <c r="N64" i="168"/>
  <c r="N65" i="168"/>
  <c r="N66" i="168"/>
  <c r="N68" i="168"/>
  <c r="N70" i="168"/>
  <c r="N73" i="168"/>
  <c r="N86" i="168"/>
  <c r="N87" i="168"/>
  <c r="N76" i="168"/>
  <c r="N77" i="168"/>
  <c r="N79" i="168"/>
  <c r="N142" i="168"/>
  <c r="O45" i="168"/>
  <c r="O46" i="168"/>
  <c r="O51" i="168"/>
  <c r="O52" i="168"/>
  <c r="O50" i="168"/>
  <c r="O53" i="168"/>
  <c r="O54" i="168"/>
  <c r="O55" i="168"/>
  <c r="O56" i="168"/>
  <c r="O57" i="168"/>
  <c r="O58" i="168"/>
  <c r="O59" i="168"/>
  <c r="O60" i="168"/>
  <c r="O61" i="168"/>
  <c r="N89" i="168"/>
  <c r="O85" i="168"/>
  <c r="O88" i="168"/>
  <c r="O62" i="168"/>
  <c r="O63" i="168"/>
  <c r="O64" i="168"/>
  <c r="O65" i="168"/>
  <c r="O66" i="168"/>
  <c r="O68" i="168"/>
  <c r="O70" i="168"/>
  <c r="O73" i="168"/>
  <c r="O86" i="168"/>
  <c r="O87" i="168"/>
  <c r="O76" i="168"/>
  <c r="O77" i="168"/>
  <c r="O79" i="168"/>
  <c r="O142" i="168"/>
  <c r="P45" i="168"/>
  <c r="P46" i="168"/>
  <c r="P51" i="168"/>
  <c r="P52" i="168"/>
  <c r="P50" i="168"/>
  <c r="P53" i="168"/>
  <c r="P54" i="168"/>
  <c r="P55" i="168"/>
  <c r="P56" i="168"/>
  <c r="P57" i="168"/>
  <c r="P58" i="168"/>
  <c r="P59" i="168"/>
  <c r="P60" i="168"/>
  <c r="P61" i="168"/>
  <c r="O89" i="168"/>
  <c r="P85" i="168"/>
  <c r="P88" i="168"/>
  <c r="P62" i="168"/>
  <c r="P63" i="168"/>
  <c r="P64" i="168"/>
  <c r="P65" i="168"/>
  <c r="P66" i="168"/>
  <c r="P68" i="168"/>
  <c r="P70" i="168"/>
  <c r="P73" i="168"/>
  <c r="P86" i="168"/>
  <c r="P87" i="168"/>
  <c r="P76" i="168"/>
  <c r="P77" i="168"/>
  <c r="P79" i="168"/>
  <c r="P142" i="168"/>
  <c r="Q45" i="168"/>
  <c r="Q46" i="168"/>
  <c r="Q51" i="168"/>
  <c r="Q52" i="168"/>
  <c r="Q50" i="168"/>
  <c r="Q53" i="168"/>
  <c r="Q54" i="168"/>
  <c r="Q55" i="168"/>
  <c r="Q56" i="168"/>
  <c r="Q57" i="168"/>
  <c r="Q58" i="168"/>
  <c r="Q59" i="168"/>
  <c r="Q60" i="168"/>
  <c r="Q61" i="168"/>
  <c r="P89" i="168"/>
  <c r="Q85" i="168"/>
  <c r="Q88" i="168"/>
  <c r="Q62" i="168"/>
  <c r="Q63" i="168"/>
  <c r="Q64" i="168"/>
  <c r="Q65" i="168"/>
  <c r="Q66" i="168"/>
  <c r="Q68" i="168"/>
  <c r="Q70" i="168"/>
  <c r="Q73" i="168"/>
  <c r="Q86" i="168"/>
  <c r="Q87" i="168"/>
  <c r="Q76" i="168"/>
  <c r="Q77" i="168"/>
  <c r="Q79" i="168"/>
  <c r="Q142" i="168"/>
  <c r="R45" i="168"/>
  <c r="R46" i="168"/>
  <c r="R51" i="168"/>
  <c r="R52" i="168"/>
  <c r="R50" i="168"/>
  <c r="R53" i="168"/>
  <c r="R54" i="168"/>
  <c r="R55" i="168"/>
  <c r="R56" i="168"/>
  <c r="R57" i="168"/>
  <c r="R58" i="168"/>
  <c r="R59" i="168"/>
  <c r="R60" i="168"/>
  <c r="R61" i="168"/>
  <c r="Q89" i="168"/>
  <c r="R85" i="168"/>
  <c r="R88" i="168"/>
  <c r="R62" i="168"/>
  <c r="R63" i="168"/>
  <c r="R64" i="168"/>
  <c r="R65" i="168"/>
  <c r="R66" i="168"/>
  <c r="R68" i="168"/>
  <c r="R70" i="168"/>
  <c r="R73" i="168"/>
  <c r="R86" i="168"/>
  <c r="R87" i="168"/>
  <c r="R76" i="168"/>
  <c r="R77" i="168"/>
  <c r="R79" i="168"/>
  <c r="R142" i="168"/>
  <c r="S45" i="168"/>
  <c r="S46" i="168"/>
  <c r="S51" i="168"/>
  <c r="S52" i="168"/>
  <c r="S50" i="168"/>
  <c r="S53" i="168"/>
  <c r="S54" i="168"/>
  <c r="S55" i="168"/>
  <c r="S56" i="168"/>
  <c r="S57" i="168"/>
  <c r="S58" i="168"/>
  <c r="S59" i="168"/>
  <c r="S60" i="168"/>
  <c r="S61" i="168"/>
  <c r="R89" i="168"/>
  <c r="S85" i="168"/>
  <c r="S88" i="168"/>
  <c r="S62" i="168"/>
  <c r="S63" i="168"/>
  <c r="S64" i="168"/>
  <c r="S65" i="168"/>
  <c r="S66" i="168"/>
  <c r="S68" i="168"/>
  <c r="S70" i="168"/>
  <c r="S73" i="168"/>
  <c r="S86" i="168"/>
  <c r="S87" i="168"/>
  <c r="S76" i="168"/>
  <c r="S77" i="168"/>
  <c r="S79" i="168"/>
  <c r="S142" i="168"/>
  <c r="T45" i="168"/>
  <c r="T46" i="168"/>
  <c r="T51" i="168"/>
  <c r="T52" i="168"/>
  <c r="T50" i="168"/>
  <c r="T53" i="168"/>
  <c r="T54" i="168"/>
  <c r="T55" i="168"/>
  <c r="T56" i="168"/>
  <c r="T57" i="168"/>
  <c r="T58" i="168"/>
  <c r="T59" i="168"/>
  <c r="T60" i="168"/>
  <c r="T61" i="168"/>
  <c r="S89" i="168"/>
  <c r="T85" i="168"/>
  <c r="T88" i="168"/>
  <c r="T62" i="168"/>
  <c r="T63" i="168"/>
  <c r="T64" i="168"/>
  <c r="T65" i="168"/>
  <c r="T66" i="168"/>
  <c r="T68" i="168"/>
  <c r="T70" i="168"/>
  <c r="T73" i="168"/>
  <c r="T86" i="168"/>
  <c r="T87" i="168"/>
  <c r="T76" i="168"/>
  <c r="T77" i="168"/>
  <c r="T79" i="168"/>
  <c r="T142" i="168"/>
  <c r="U45" i="168"/>
  <c r="U46" i="168"/>
  <c r="U51" i="168"/>
  <c r="U52" i="168"/>
  <c r="U50" i="168"/>
  <c r="U53" i="168"/>
  <c r="U54" i="168"/>
  <c r="U55" i="168"/>
  <c r="U56" i="168"/>
  <c r="U57" i="168"/>
  <c r="U58" i="168"/>
  <c r="U59" i="168"/>
  <c r="U60" i="168"/>
  <c r="U61" i="168"/>
  <c r="U88" i="168"/>
  <c r="U62" i="168"/>
  <c r="U63" i="168"/>
  <c r="U64" i="168"/>
  <c r="U65" i="168"/>
  <c r="U66" i="168"/>
  <c r="U68" i="168"/>
  <c r="U70" i="168"/>
  <c r="U73" i="168"/>
  <c r="U86" i="168"/>
  <c r="U87" i="168"/>
  <c r="U76" i="168"/>
  <c r="U77" i="168"/>
  <c r="U79" i="168"/>
  <c r="U142" i="168"/>
  <c r="V45" i="168"/>
  <c r="V46" i="168"/>
  <c r="V51" i="168"/>
  <c r="V52" i="168"/>
  <c r="V50" i="168"/>
  <c r="V53" i="168"/>
  <c r="V54" i="168"/>
  <c r="V55" i="168"/>
  <c r="V56" i="168"/>
  <c r="V57" i="168"/>
  <c r="V58" i="168"/>
  <c r="V59" i="168"/>
  <c r="V60" i="168"/>
  <c r="V61" i="168"/>
  <c r="V88" i="168"/>
  <c r="V62" i="168"/>
  <c r="V63" i="168"/>
  <c r="V64" i="168"/>
  <c r="V65" i="168"/>
  <c r="V66" i="168"/>
  <c r="V68" i="168"/>
  <c r="V70" i="168"/>
  <c r="V73" i="168"/>
  <c r="V86" i="168"/>
  <c r="V87" i="168"/>
  <c r="V76" i="168"/>
  <c r="V77" i="168"/>
  <c r="V79" i="168"/>
  <c r="V142" i="168"/>
  <c r="W45" i="168"/>
  <c r="W46" i="168"/>
  <c r="W51" i="168"/>
  <c r="W52" i="168"/>
  <c r="W50" i="168"/>
  <c r="W53" i="168"/>
  <c r="W54" i="168"/>
  <c r="W55" i="168"/>
  <c r="W56" i="168"/>
  <c r="W57" i="168"/>
  <c r="W58" i="168"/>
  <c r="W59" i="168"/>
  <c r="W60" i="168"/>
  <c r="W61" i="168"/>
  <c r="W88" i="168"/>
  <c r="W62" i="168"/>
  <c r="W63" i="168"/>
  <c r="W64" i="168"/>
  <c r="W65" i="168"/>
  <c r="W66" i="168"/>
  <c r="W68" i="168"/>
  <c r="W70" i="168"/>
  <c r="W73" i="168"/>
  <c r="W86" i="168"/>
  <c r="W87" i="168"/>
  <c r="W76" i="168"/>
  <c r="W77" i="168"/>
  <c r="W79" i="168"/>
  <c r="W142" i="168"/>
  <c r="X45" i="168"/>
  <c r="X46" i="168"/>
  <c r="X51" i="168"/>
  <c r="X52" i="168"/>
  <c r="X50" i="168"/>
  <c r="X53" i="168"/>
  <c r="X54" i="168"/>
  <c r="X55" i="168"/>
  <c r="X56" i="168"/>
  <c r="X57" i="168"/>
  <c r="X58" i="168"/>
  <c r="X59" i="168"/>
  <c r="X60" i="168"/>
  <c r="X61" i="168"/>
  <c r="X88" i="168"/>
  <c r="X62" i="168"/>
  <c r="X63" i="168"/>
  <c r="X64" i="168"/>
  <c r="X65" i="168"/>
  <c r="X66" i="168"/>
  <c r="X68" i="168"/>
  <c r="X70" i="168"/>
  <c r="X73" i="168"/>
  <c r="X86" i="168"/>
  <c r="X87" i="168"/>
  <c r="X76" i="168"/>
  <c r="X77" i="168"/>
  <c r="X79" i="168"/>
  <c r="X142" i="168"/>
  <c r="Y45" i="168"/>
  <c r="Y46" i="168"/>
  <c r="Y51" i="168"/>
  <c r="Y52" i="168"/>
  <c r="Y50" i="168"/>
  <c r="Y53" i="168"/>
  <c r="Y54" i="168"/>
  <c r="Y55" i="168"/>
  <c r="Y56" i="168"/>
  <c r="Y57" i="168"/>
  <c r="Y58" i="168"/>
  <c r="Y59" i="168"/>
  <c r="Y60" i="168"/>
  <c r="Y61" i="168"/>
  <c r="Y88" i="168"/>
  <c r="Y62" i="168"/>
  <c r="Y63" i="168"/>
  <c r="Y64" i="168"/>
  <c r="Y65" i="168"/>
  <c r="Y66" i="168"/>
  <c r="Y68" i="168"/>
  <c r="Y70" i="168"/>
  <c r="Y73" i="168"/>
  <c r="Y86" i="168"/>
  <c r="Y87" i="168"/>
  <c r="Y76" i="168"/>
  <c r="Y77" i="168"/>
  <c r="Y79" i="168"/>
  <c r="Y142" i="168"/>
  <c r="Z45" i="168"/>
  <c r="Z46" i="168"/>
  <c r="Z50" i="168"/>
  <c r="Z51" i="168"/>
  <c r="N13" i="28"/>
  <c r="B28" i="168"/>
  <c r="Z52" i="168"/>
  <c r="Z53" i="168"/>
  <c r="Z54" i="168"/>
  <c r="Z55" i="168"/>
  <c r="Z56" i="168"/>
  <c r="Z57" i="168"/>
  <c r="Z58" i="168"/>
  <c r="Z59" i="168"/>
  <c r="Z60" i="168"/>
  <c r="Z61" i="168"/>
  <c r="Z88" i="168"/>
  <c r="Z62" i="168"/>
  <c r="Z63" i="168"/>
  <c r="Z64" i="168"/>
  <c r="Z65" i="168"/>
  <c r="Z66" i="168"/>
  <c r="Z68" i="168"/>
  <c r="Z70" i="168"/>
  <c r="Z73" i="168"/>
  <c r="Z86" i="168"/>
  <c r="Z87" i="168"/>
  <c r="Z76" i="168"/>
  <c r="Z77" i="168"/>
  <c r="Z79" i="168"/>
  <c r="Z142" i="168"/>
  <c r="AA45" i="168"/>
  <c r="AA46" i="168"/>
  <c r="AA50" i="168"/>
  <c r="AA51" i="168"/>
  <c r="AA52" i="168"/>
  <c r="AA53" i="168"/>
  <c r="AA54" i="168"/>
  <c r="AA55" i="168"/>
  <c r="AA56" i="168"/>
  <c r="AA57" i="168"/>
  <c r="AA58" i="168"/>
  <c r="AA59" i="168"/>
  <c r="AA60" i="168"/>
  <c r="AA61" i="168"/>
  <c r="AA88" i="168"/>
  <c r="AA62" i="168"/>
  <c r="AA63" i="168"/>
  <c r="AA64" i="168"/>
  <c r="AA65" i="168"/>
  <c r="AA66" i="168"/>
  <c r="AA68" i="168"/>
  <c r="AA70" i="168"/>
  <c r="AA73" i="168"/>
  <c r="AA86" i="168"/>
  <c r="AA87" i="168"/>
  <c r="AA76" i="168"/>
  <c r="AA77" i="168"/>
  <c r="AA79" i="168"/>
  <c r="AA142" i="168"/>
  <c r="AB45" i="168"/>
  <c r="AB46" i="168"/>
  <c r="AB50" i="168"/>
  <c r="AB51" i="168"/>
  <c r="AB52" i="168"/>
  <c r="AB53" i="168"/>
  <c r="AB54" i="168"/>
  <c r="AB55" i="168"/>
  <c r="AB56" i="168"/>
  <c r="AB57" i="168"/>
  <c r="AB58" i="168"/>
  <c r="AB59" i="168"/>
  <c r="AB60" i="168"/>
  <c r="AB61" i="168"/>
  <c r="AB88" i="168"/>
  <c r="AB62" i="168"/>
  <c r="AB63" i="168"/>
  <c r="AB64" i="168"/>
  <c r="AB65" i="168"/>
  <c r="AB66" i="168"/>
  <c r="AB68" i="168"/>
  <c r="AB70" i="168"/>
  <c r="AB73" i="168"/>
  <c r="AB86" i="168"/>
  <c r="AB87" i="168"/>
  <c r="AB76" i="168"/>
  <c r="AB77" i="168"/>
  <c r="AB79" i="168"/>
  <c r="AB142" i="168"/>
  <c r="AC45" i="168"/>
  <c r="AC46" i="168"/>
  <c r="AC50" i="168"/>
  <c r="AC51" i="168"/>
  <c r="AC52" i="168"/>
  <c r="AC53" i="168"/>
  <c r="AC54" i="168"/>
  <c r="AC55" i="168"/>
  <c r="AC56" i="168"/>
  <c r="AC57" i="168"/>
  <c r="AC58" i="168"/>
  <c r="AC59" i="168"/>
  <c r="AC60" i="168"/>
  <c r="AC61" i="168"/>
  <c r="AC88" i="168"/>
  <c r="AC62" i="168"/>
  <c r="AC63" i="168"/>
  <c r="AC64" i="168"/>
  <c r="AC65" i="168"/>
  <c r="AC66" i="168"/>
  <c r="AC68" i="168"/>
  <c r="AC70" i="168"/>
  <c r="AC73" i="168"/>
  <c r="AC86" i="168"/>
  <c r="AC87" i="168"/>
  <c r="AC76" i="168"/>
  <c r="AC77" i="168"/>
  <c r="AC79" i="168"/>
  <c r="AC142" i="168"/>
  <c r="AD45" i="168"/>
  <c r="AD46" i="168"/>
  <c r="AD50" i="168"/>
  <c r="AD51" i="168"/>
  <c r="AD52" i="168"/>
  <c r="AD53" i="168"/>
  <c r="AD54" i="168"/>
  <c r="AD55" i="168"/>
  <c r="AD56" i="168"/>
  <c r="AD57" i="168"/>
  <c r="AD58" i="168"/>
  <c r="AD59" i="168"/>
  <c r="AD60" i="168"/>
  <c r="AD61" i="168"/>
  <c r="AD88" i="168"/>
  <c r="AD62" i="168"/>
  <c r="AD63" i="168"/>
  <c r="AD64" i="168"/>
  <c r="AD65" i="168"/>
  <c r="AD66" i="168"/>
  <c r="AD68" i="168"/>
  <c r="AD70" i="168"/>
  <c r="AD73" i="168"/>
  <c r="AD86" i="168"/>
  <c r="AD87" i="168"/>
  <c r="AD76" i="168"/>
  <c r="AD77" i="168"/>
  <c r="AD79" i="168"/>
  <c r="AD142" i="168"/>
  <c r="AE45" i="168"/>
  <c r="AE46" i="168"/>
  <c r="AE50" i="168"/>
  <c r="AE51" i="168"/>
  <c r="AE52" i="168"/>
  <c r="AE53" i="168"/>
  <c r="AE54" i="168"/>
  <c r="AE55" i="168"/>
  <c r="AE56" i="168"/>
  <c r="AE57" i="168"/>
  <c r="AE58" i="168"/>
  <c r="AE59" i="168"/>
  <c r="AE60" i="168"/>
  <c r="AE61" i="168"/>
  <c r="AE88" i="168"/>
  <c r="AE62" i="168"/>
  <c r="AE63" i="168"/>
  <c r="AE64" i="168"/>
  <c r="AE65" i="168"/>
  <c r="AE66" i="168"/>
  <c r="AE68" i="168"/>
  <c r="AE70" i="168"/>
  <c r="AE73" i="168"/>
  <c r="AE86" i="168"/>
  <c r="AE87" i="168"/>
  <c r="AE76" i="168"/>
  <c r="AE77" i="168"/>
  <c r="AE79" i="168"/>
  <c r="AE142" i="168"/>
  <c r="AF45" i="168"/>
  <c r="AF46" i="168"/>
  <c r="AF50" i="168"/>
  <c r="AF51" i="168"/>
  <c r="AF52" i="168"/>
  <c r="AF53" i="168"/>
  <c r="AF54" i="168"/>
  <c r="AF55" i="168"/>
  <c r="AF56" i="168"/>
  <c r="AF57" i="168"/>
  <c r="AF58" i="168"/>
  <c r="AF59" i="168"/>
  <c r="AF60" i="168"/>
  <c r="AF61" i="168"/>
  <c r="AF88" i="168"/>
  <c r="AF62" i="168"/>
  <c r="AF63" i="168"/>
  <c r="AF64" i="168"/>
  <c r="AF65" i="168"/>
  <c r="AF66" i="168"/>
  <c r="AF68" i="168"/>
  <c r="AF70" i="168"/>
  <c r="AF73" i="168"/>
  <c r="AF86" i="168"/>
  <c r="AF87" i="168"/>
  <c r="AF76" i="168"/>
  <c r="AF77" i="168"/>
  <c r="AF79" i="168"/>
  <c r="AF142" i="168"/>
  <c r="AG45" i="168"/>
  <c r="AG46" i="168"/>
  <c r="AG50" i="168"/>
  <c r="AG51" i="168"/>
  <c r="AG52" i="168"/>
  <c r="AG53" i="168"/>
  <c r="AG54" i="168"/>
  <c r="AG55" i="168"/>
  <c r="AG56" i="168"/>
  <c r="AG57" i="168"/>
  <c r="AG58" i="168"/>
  <c r="AG59" i="168"/>
  <c r="AG60" i="168"/>
  <c r="AG61" i="168"/>
  <c r="AG88" i="168"/>
  <c r="AG62" i="168"/>
  <c r="AG63" i="168"/>
  <c r="AG64" i="168"/>
  <c r="AG65" i="168"/>
  <c r="AG66" i="168"/>
  <c r="AG68" i="168"/>
  <c r="AG70" i="168"/>
  <c r="AG73" i="168"/>
  <c r="AG86" i="168"/>
  <c r="AG87" i="168"/>
  <c r="AG76" i="168"/>
  <c r="AG77" i="168"/>
  <c r="AG79" i="168"/>
  <c r="AG142" i="168"/>
  <c r="AH45" i="168"/>
  <c r="AH46" i="168"/>
  <c r="AH50" i="168"/>
  <c r="AH51" i="168"/>
  <c r="AH52" i="168"/>
  <c r="AH53" i="168"/>
  <c r="AH54" i="168"/>
  <c r="AH55" i="168"/>
  <c r="AH56" i="168"/>
  <c r="AH57" i="168"/>
  <c r="AH58" i="168"/>
  <c r="AH59" i="168"/>
  <c r="AH60" i="168"/>
  <c r="AH61" i="168"/>
  <c r="AH88" i="168"/>
  <c r="AH62" i="168"/>
  <c r="AH63" i="168"/>
  <c r="AH64" i="168"/>
  <c r="AH65" i="168"/>
  <c r="AH66" i="168"/>
  <c r="AH68" i="168"/>
  <c r="AH70" i="168"/>
  <c r="AH73" i="168"/>
  <c r="AH86" i="168"/>
  <c r="AH87" i="168"/>
  <c r="AH76" i="168"/>
  <c r="AH77" i="168"/>
  <c r="AH79" i="168"/>
  <c r="AH142" i="168"/>
  <c r="AI45" i="168"/>
  <c r="AI46" i="168"/>
  <c r="AI50" i="168"/>
  <c r="AI51" i="168"/>
  <c r="AI52" i="168"/>
  <c r="AI53" i="168"/>
  <c r="AI54" i="168"/>
  <c r="AI55" i="168"/>
  <c r="AI56" i="168"/>
  <c r="AI57" i="168"/>
  <c r="AI58" i="168"/>
  <c r="AI59" i="168"/>
  <c r="AI60" i="168"/>
  <c r="AI61" i="168"/>
  <c r="AI88" i="168"/>
  <c r="AI62" i="168"/>
  <c r="AI63" i="168"/>
  <c r="AI64" i="168"/>
  <c r="AI65" i="168"/>
  <c r="AI66" i="168"/>
  <c r="AI68" i="168"/>
  <c r="AI70" i="168"/>
  <c r="AI73" i="168"/>
  <c r="AI86" i="168"/>
  <c r="AI87" i="168"/>
  <c r="AI76" i="168"/>
  <c r="AI77" i="168"/>
  <c r="AI79" i="168"/>
  <c r="AI142" i="168"/>
  <c r="C142" i="168"/>
  <c r="C73" i="169"/>
  <c r="E73" i="169"/>
  <c r="F73" i="169"/>
  <c r="G73" i="169"/>
  <c r="H73" i="169"/>
  <c r="I73" i="169"/>
  <c r="J73" i="169"/>
  <c r="K73" i="169"/>
  <c r="L73" i="169"/>
  <c r="M73" i="169"/>
  <c r="N73" i="169"/>
  <c r="O73" i="169"/>
  <c r="P73" i="169"/>
  <c r="Q73" i="169"/>
  <c r="R73" i="169"/>
  <c r="S73" i="169"/>
  <c r="T73" i="169"/>
  <c r="U73" i="169"/>
  <c r="V73" i="169"/>
  <c r="W73" i="169"/>
  <c r="X73" i="169"/>
  <c r="Y73" i="169"/>
  <c r="Z73" i="169"/>
  <c r="AA73" i="169"/>
  <c r="AB73" i="169"/>
  <c r="AC73" i="169"/>
  <c r="AD73" i="169"/>
  <c r="AE73" i="169"/>
  <c r="AF73" i="169"/>
  <c r="AG73" i="169"/>
  <c r="AH73" i="169"/>
  <c r="AI73" i="169"/>
  <c r="D73" i="169"/>
  <c r="K7" i="172"/>
  <c r="B142" i="167"/>
  <c r="E142" i="167"/>
  <c r="F142" i="167"/>
  <c r="G142" i="167"/>
  <c r="H142" i="167"/>
  <c r="I142" i="167"/>
  <c r="J142" i="167"/>
  <c r="K142" i="167"/>
  <c r="L142" i="167"/>
  <c r="M142" i="167"/>
  <c r="N142" i="167"/>
  <c r="O142" i="167"/>
  <c r="P142" i="167"/>
  <c r="Q142" i="167"/>
  <c r="R142" i="167"/>
  <c r="S142" i="167"/>
  <c r="T142" i="167"/>
  <c r="U142" i="167"/>
  <c r="V142" i="167"/>
  <c r="W142" i="167"/>
  <c r="X142" i="167"/>
  <c r="Y142" i="167"/>
  <c r="Z142" i="167"/>
  <c r="AA142" i="167"/>
  <c r="AB142" i="167"/>
  <c r="AC142" i="167"/>
  <c r="AD142" i="167"/>
  <c r="AE142" i="167"/>
  <c r="AF142" i="167"/>
  <c r="AG142" i="167"/>
  <c r="AH142" i="167"/>
  <c r="AI142" i="167"/>
  <c r="C142" i="167"/>
  <c r="C52" i="169"/>
  <c r="D52" i="169"/>
  <c r="K6" i="172"/>
  <c r="B142" i="166"/>
  <c r="B6" i="166"/>
  <c r="B14" i="166"/>
  <c r="B24" i="166"/>
  <c r="G12" i="166"/>
  <c r="E55" i="166"/>
  <c r="E58" i="166"/>
  <c r="E59" i="166"/>
  <c r="E61" i="166"/>
  <c r="E63" i="166"/>
  <c r="E65" i="166"/>
  <c r="G11" i="166"/>
  <c r="E64" i="166"/>
  <c r="E66" i="166"/>
  <c r="E68" i="166"/>
  <c r="F11" i="28"/>
  <c r="B12" i="166"/>
  <c r="G11" i="28"/>
  <c r="B11" i="166"/>
  <c r="B13" i="166"/>
  <c r="E70" i="166"/>
  <c r="H11" i="28"/>
  <c r="H14" i="166"/>
  <c r="E71" i="166"/>
  <c r="I11" i="28"/>
  <c r="B19" i="166"/>
  <c r="E72" i="166"/>
  <c r="E73" i="166"/>
  <c r="G29" i="166"/>
  <c r="G30" i="166"/>
  <c r="E75" i="166"/>
  <c r="E77" i="166"/>
  <c r="E79" i="166"/>
  <c r="E142" i="166"/>
  <c r="B27" i="166"/>
  <c r="B22" i="166"/>
  <c r="F45" i="166"/>
  <c r="B16" i="166"/>
  <c r="F46" i="166"/>
  <c r="L11" i="28"/>
  <c r="B26" i="166"/>
  <c r="F51" i="166"/>
  <c r="F52" i="166"/>
  <c r="B36" i="166"/>
  <c r="J11" i="28"/>
  <c r="B29" i="166"/>
  <c r="K11" i="28"/>
  <c r="B30" i="166"/>
  <c r="F50" i="166"/>
  <c r="F53" i="166"/>
  <c r="B38" i="166"/>
  <c r="F54" i="166"/>
  <c r="F55" i="166"/>
  <c r="B31" i="166"/>
  <c r="B32" i="166"/>
  <c r="B33" i="166"/>
  <c r="F56" i="166"/>
  <c r="B35" i="166"/>
  <c r="F57" i="166"/>
  <c r="F58" i="166"/>
  <c r="F59" i="166"/>
  <c r="G20" i="166"/>
  <c r="G21" i="166"/>
  <c r="G22" i="166"/>
  <c r="G23" i="166"/>
  <c r="G18" i="166"/>
  <c r="F60" i="166"/>
  <c r="F61" i="166"/>
  <c r="G28" i="166"/>
  <c r="F85" i="166"/>
  <c r="T11" i="28"/>
  <c r="G27" i="166"/>
  <c r="F88" i="166"/>
  <c r="F62" i="166"/>
  <c r="F63" i="166"/>
  <c r="F65" i="166"/>
  <c r="F64" i="166"/>
  <c r="F66" i="166"/>
  <c r="F68" i="166"/>
  <c r="F70" i="166"/>
  <c r="F73" i="166"/>
  <c r="F86" i="166"/>
  <c r="F87" i="166"/>
  <c r="F76" i="166"/>
  <c r="F77" i="166"/>
  <c r="F79" i="166"/>
  <c r="F142" i="166"/>
  <c r="B23" i="166"/>
  <c r="G45" i="166"/>
  <c r="G46" i="166"/>
  <c r="G51" i="166"/>
  <c r="G52" i="166"/>
  <c r="G50" i="166"/>
  <c r="G53" i="166"/>
  <c r="G54" i="166"/>
  <c r="G55" i="166"/>
  <c r="G56" i="166"/>
  <c r="G57" i="166"/>
  <c r="G58" i="166"/>
  <c r="G59" i="166"/>
  <c r="H18" i="166"/>
  <c r="G60" i="166"/>
  <c r="G61" i="166"/>
  <c r="F89" i="166"/>
  <c r="G85" i="166"/>
  <c r="G88" i="166"/>
  <c r="G62" i="166"/>
  <c r="G63" i="166"/>
  <c r="G65" i="166"/>
  <c r="G64" i="166"/>
  <c r="G66" i="166"/>
  <c r="G68" i="166"/>
  <c r="G70" i="166"/>
  <c r="G73" i="166"/>
  <c r="G86" i="166"/>
  <c r="G87" i="166"/>
  <c r="G76" i="166"/>
  <c r="G77" i="166"/>
  <c r="G79" i="166"/>
  <c r="G142" i="166"/>
  <c r="H45" i="166"/>
  <c r="H46" i="166"/>
  <c r="H51" i="166"/>
  <c r="H52" i="166"/>
  <c r="H50" i="166"/>
  <c r="H53" i="166"/>
  <c r="H54" i="166"/>
  <c r="H55" i="166"/>
  <c r="H56" i="166"/>
  <c r="H57" i="166"/>
  <c r="H58" i="166"/>
  <c r="H59" i="166"/>
  <c r="I18" i="166"/>
  <c r="H60" i="166"/>
  <c r="H61" i="166"/>
  <c r="G89" i="166"/>
  <c r="H85" i="166"/>
  <c r="H88" i="166"/>
  <c r="H62" i="166"/>
  <c r="H63" i="166"/>
  <c r="H65" i="166"/>
  <c r="H64" i="166"/>
  <c r="H66" i="166"/>
  <c r="H68" i="166"/>
  <c r="H70" i="166"/>
  <c r="H73" i="166"/>
  <c r="H86" i="166"/>
  <c r="H87" i="166"/>
  <c r="H76" i="166"/>
  <c r="H77" i="166"/>
  <c r="H79" i="166"/>
  <c r="H142" i="166"/>
  <c r="I45" i="166"/>
  <c r="I46" i="166"/>
  <c r="I51" i="166"/>
  <c r="I52" i="166"/>
  <c r="I50" i="166"/>
  <c r="I53" i="166"/>
  <c r="I54" i="166"/>
  <c r="I55" i="166"/>
  <c r="I56" i="166"/>
  <c r="I57" i="166"/>
  <c r="I58" i="166"/>
  <c r="I59" i="166"/>
  <c r="J18" i="166"/>
  <c r="I60" i="166"/>
  <c r="I61" i="166"/>
  <c r="H89" i="166"/>
  <c r="I85" i="166"/>
  <c r="I88" i="166"/>
  <c r="I62" i="166"/>
  <c r="I63" i="166"/>
  <c r="I65" i="166"/>
  <c r="I64" i="166"/>
  <c r="I66" i="166"/>
  <c r="I68" i="166"/>
  <c r="I70" i="166"/>
  <c r="I73" i="166"/>
  <c r="I86" i="166"/>
  <c r="I87" i="166"/>
  <c r="I76" i="166"/>
  <c r="I77" i="166"/>
  <c r="I79" i="166"/>
  <c r="I142" i="166"/>
  <c r="J45" i="166"/>
  <c r="J46" i="166"/>
  <c r="J51" i="166"/>
  <c r="J52" i="166"/>
  <c r="J50" i="166"/>
  <c r="J53" i="166"/>
  <c r="J54" i="166"/>
  <c r="J55" i="166"/>
  <c r="J56" i="166"/>
  <c r="J57" i="166"/>
  <c r="J58" i="166"/>
  <c r="J59" i="166"/>
  <c r="K18" i="166"/>
  <c r="J60" i="166"/>
  <c r="J61" i="166"/>
  <c r="I89" i="166"/>
  <c r="J85" i="166"/>
  <c r="J88" i="166"/>
  <c r="J62" i="166"/>
  <c r="J63" i="166"/>
  <c r="J65" i="166"/>
  <c r="J64" i="166"/>
  <c r="J66" i="166"/>
  <c r="J68" i="166"/>
  <c r="J70" i="166"/>
  <c r="J73" i="166"/>
  <c r="J86" i="166"/>
  <c r="J87" i="166"/>
  <c r="J76" i="166"/>
  <c r="J77" i="166"/>
  <c r="J79" i="166"/>
  <c r="J142" i="166"/>
  <c r="K45" i="166"/>
  <c r="K46" i="166"/>
  <c r="K51" i="166"/>
  <c r="K52" i="166"/>
  <c r="K50" i="166"/>
  <c r="K53" i="166"/>
  <c r="K54" i="166"/>
  <c r="K55" i="166"/>
  <c r="K56" i="166"/>
  <c r="K57" i="166"/>
  <c r="K58" i="166"/>
  <c r="K59" i="166"/>
  <c r="L18" i="166"/>
  <c r="K60" i="166"/>
  <c r="K61" i="166"/>
  <c r="J89" i="166"/>
  <c r="K85" i="166"/>
  <c r="K88" i="166"/>
  <c r="K62" i="166"/>
  <c r="K63" i="166"/>
  <c r="K65" i="166"/>
  <c r="K64" i="166"/>
  <c r="K66" i="166"/>
  <c r="K68" i="166"/>
  <c r="K70" i="166"/>
  <c r="K73" i="166"/>
  <c r="K86" i="166"/>
  <c r="K87" i="166"/>
  <c r="K76" i="166"/>
  <c r="K77" i="166"/>
  <c r="K79" i="166"/>
  <c r="K142" i="166"/>
  <c r="L45" i="166"/>
  <c r="L46" i="166"/>
  <c r="L51" i="166"/>
  <c r="L52" i="166"/>
  <c r="L50" i="166"/>
  <c r="L53" i="166"/>
  <c r="L54" i="166"/>
  <c r="L55" i="166"/>
  <c r="L56" i="166"/>
  <c r="L57" i="166"/>
  <c r="L58" i="166"/>
  <c r="L59" i="166"/>
  <c r="M18" i="166"/>
  <c r="L60" i="166"/>
  <c r="L61" i="166"/>
  <c r="K89" i="166"/>
  <c r="L85" i="166"/>
  <c r="L88" i="166"/>
  <c r="L62" i="166"/>
  <c r="L63" i="166"/>
  <c r="L65" i="166"/>
  <c r="L64" i="166"/>
  <c r="L66" i="166"/>
  <c r="L68" i="166"/>
  <c r="L70" i="166"/>
  <c r="L73" i="166"/>
  <c r="L86" i="166"/>
  <c r="L87" i="166"/>
  <c r="L76" i="166"/>
  <c r="L77" i="166"/>
  <c r="L79" i="166"/>
  <c r="L142" i="166"/>
  <c r="M45" i="166"/>
  <c r="M46" i="166"/>
  <c r="M51" i="166"/>
  <c r="M52" i="166"/>
  <c r="M50" i="166"/>
  <c r="M53" i="166"/>
  <c r="M54" i="166"/>
  <c r="M55" i="166"/>
  <c r="M56" i="166"/>
  <c r="M57" i="166"/>
  <c r="M58" i="166"/>
  <c r="M59" i="166"/>
  <c r="N18" i="166"/>
  <c r="M60" i="166"/>
  <c r="M61" i="166"/>
  <c r="L89" i="166"/>
  <c r="M85" i="166"/>
  <c r="M88" i="166"/>
  <c r="M62" i="166"/>
  <c r="M63" i="166"/>
  <c r="M65" i="166"/>
  <c r="M64" i="166"/>
  <c r="M66" i="166"/>
  <c r="M68" i="166"/>
  <c r="M70" i="166"/>
  <c r="M73" i="166"/>
  <c r="M86" i="166"/>
  <c r="M87" i="166"/>
  <c r="M76" i="166"/>
  <c r="M77" i="166"/>
  <c r="M79" i="166"/>
  <c r="M142" i="166"/>
  <c r="N45" i="166"/>
  <c r="N46" i="166"/>
  <c r="N51" i="166"/>
  <c r="N52" i="166"/>
  <c r="N50" i="166"/>
  <c r="N53" i="166"/>
  <c r="N54" i="166"/>
  <c r="N55" i="166"/>
  <c r="N56" i="166"/>
  <c r="N57" i="166"/>
  <c r="N58" i="166"/>
  <c r="N59" i="166"/>
  <c r="O18" i="166"/>
  <c r="N60" i="166"/>
  <c r="N61" i="166"/>
  <c r="M89" i="166"/>
  <c r="N85" i="166"/>
  <c r="N88" i="166"/>
  <c r="N62" i="166"/>
  <c r="N63" i="166"/>
  <c r="N65" i="166"/>
  <c r="N64" i="166"/>
  <c r="N66" i="166"/>
  <c r="N68" i="166"/>
  <c r="N70" i="166"/>
  <c r="N73" i="166"/>
  <c r="N86" i="166"/>
  <c r="N87" i="166"/>
  <c r="N76" i="166"/>
  <c r="N77" i="166"/>
  <c r="N79" i="166"/>
  <c r="N142" i="166"/>
  <c r="O45" i="166"/>
  <c r="O46" i="166"/>
  <c r="O51" i="166"/>
  <c r="O52" i="166"/>
  <c r="O50" i="166"/>
  <c r="O53" i="166"/>
  <c r="O54" i="166"/>
  <c r="O55" i="166"/>
  <c r="O56" i="166"/>
  <c r="B34" i="166"/>
  <c r="O57" i="166"/>
  <c r="O58" i="166"/>
  <c r="O59" i="166"/>
  <c r="P18" i="166"/>
  <c r="O60" i="166"/>
  <c r="O61" i="166"/>
  <c r="N89" i="166"/>
  <c r="O85" i="166"/>
  <c r="O88" i="166"/>
  <c r="O62" i="166"/>
  <c r="O63" i="166"/>
  <c r="O65" i="166"/>
  <c r="O64" i="166"/>
  <c r="O66" i="166"/>
  <c r="O68" i="166"/>
  <c r="B15" i="166"/>
  <c r="O70" i="166"/>
  <c r="O73" i="166"/>
  <c r="O86" i="166"/>
  <c r="O87" i="166"/>
  <c r="O76" i="166"/>
  <c r="O77" i="166"/>
  <c r="O79" i="166"/>
  <c r="O142" i="166"/>
  <c r="P45" i="166"/>
  <c r="P46" i="166"/>
  <c r="P51" i="166"/>
  <c r="P52" i="166"/>
  <c r="P50" i="166"/>
  <c r="P53" i="166"/>
  <c r="P54" i="166"/>
  <c r="P55" i="166"/>
  <c r="P56" i="166"/>
  <c r="P57" i="166"/>
  <c r="P58" i="166"/>
  <c r="P59" i="166"/>
  <c r="Q18" i="166"/>
  <c r="P60" i="166"/>
  <c r="P61" i="166"/>
  <c r="P88" i="166"/>
  <c r="P62" i="166"/>
  <c r="P63" i="166"/>
  <c r="P65" i="166"/>
  <c r="P64" i="166"/>
  <c r="P66" i="166"/>
  <c r="P68" i="166"/>
  <c r="P70" i="166"/>
  <c r="P73" i="166"/>
  <c r="P86" i="166"/>
  <c r="P87" i="166"/>
  <c r="P76" i="166"/>
  <c r="P77" i="166"/>
  <c r="P79" i="166"/>
  <c r="P142" i="166"/>
  <c r="Q45" i="166"/>
  <c r="Q46" i="166"/>
  <c r="Q51" i="166"/>
  <c r="Q52" i="166"/>
  <c r="Q50" i="166"/>
  <c r="Q53" i="166"/>
  <c r="Q54" i="166"/>
  <c r="Q55" i="166"/>
  <c r="Q56" i="166"/>
  <c r="Q57" i="166"/>
  <c r="Q58" i="166"/>
  <c r="Q59" i="166"/>
  <c r="R18" i="166"/>
  <c r="Q60" i="166"/>
  <c r="Q61" i="166"/>
  <c r="Q88" i="166"/>
  <c r="Q62" i="166"/>
  <c r="Q63" i="166"/>
  <c r="Q65" i="166"/>
  <c r="Q64" i="166"/>
  <c r="Q66" i="166"/>
  <c r="Q68" i="166"/>
  <c r="Q70" i="166"/>
  <c r="Q73" i="166"/>
  <c r="Q86" i="166"/>
  <c r="Q87" i="166"/>
  <c r="Q76" i="166"/>
  <c r="Q77" i="166"/>
  <c r="Q79" i="166"/>
  <c r="Q142" i="166"/>
  <c r="R45" i="166"/>
  <c r="R46" i="166"/>
  <c r="R51" i="166"/>
  <c r="R52" i="166"/>
  <c r="R50" i="166"/>
  <c r="R53" i="166"/>
  <c r="R54" i="166"/>
  <c r="R55" i="166"/>
  <c r="R56" i="166"/>
  <c r="R57" i="166"/>
  <c r="R58" i="166"/>
  <c r="R59" i="166"/>
  <c r="S18" i="166"/>
  <c r="R60" i="166"/>
  <c r="R61" i="166"/>
  <c r="R88" i="166"/>
  <c r="R62" i="166"/>
  <c r="R63" i="166"/>
  <c r="R65" i="166"/>
  <c r="R64" i="166"/>
  <c r="R66" i="166"/>
  <c r="R68" i="166"/>
  <c r="R70" i="166"/>
  <c r="R73" i="166"/>
  <c r="R86" i="166"/>
  <c r="R87" i="166"/>
  <c r="R76" i="166"/>
  <c r="R77" i="166"/>
  <c r="R79" i="166"/>
  <c r="R142" i="166"/>
  <c r="S45" i="166"/>
  <c r="S46" i="166"/>
  <c r="S51" i="166"/>
  <c r="S52" i="166"/>
  <c r="S50" i="166"/>
  <c r="S53" i="166"/>
  <c r="S54" i="166"/>
  <c r="S55" i="166"/>
  <c r="S56" i="166"/>
  <c r="S57" i="166"/>
  <c r="S58" i="166"/>
  <c r="S59" i="166"/>
  <c r="T18" i="166"/>
  <c r="S60" i="166"/>
  <c r="S61" i="166"/>
  <c r="S88" i="166"/>
  <c r="S62" i="166"/>
  <c r="S63" i="166"/>
  <c r="S65" i="166"/>
  <c r="S64" i="166"/>
  <c r="S66" i="166"/>
  <c r="S68" i="166"/>
  <c r="S70" i="166"/>
  <c r="S73" i="166"/>
  <c r="S86" i="166"/>
  <c r="S87" i="166"/>
  <c r="S76" i="166"/>
  <c r="S77" i="166"/>
  <c r="S79" i="166"/>
  <c r="S142" i="166"/>
  <c r="T45" i="166"/>
  <c r="T46" i="166"/>
  <c r="T51" i="166"/>
  <c r="T52" i="166"/>
  <c r="T50" i="166"/>
  <c r="T53" i="166"/>
  <c r="T54" i="166"/>
  <c r="T55" i="166"/>
  <c r="T56" i="166"/>
  <c r="T57" i="166"/>
  <c r="T58" i="166"/>
  <c r="T59" i="166"/>
  <c r="U18" i="166"/>
  <c r="T60" i="166"/>
  <c r="T61" i="166"/>
  <c r="T88" i="166"/>
  <c r="T62" i="166"/>
  <c r="T63" i="166"/>
  <c r="T65" i="166"/>
  <c r="T64" i="166"/>
  <c r="T66" i="166"/>
  <c r="T68" i="166"/>
  <c r="T70" i="166"/>
  <c r="T73" i="166"/>
  <c r="T86" i="166"/>
  <c r="T87" i="166"/>
  <c r="T76" i="166"/>
  <c r="T77" i="166"/>
  <c r="T79" i="166"/>
  <c r="T142" i="166"/>
  <c r="U45" i="166"/>
  <c r="U46" i="166"/>
  <c r="U51" i="166"/>
  <c r="U52" i="166"/>
  <c r="U50" i="166"/>
  <c r="U53" i="166"/>
  <c r="U54" i="166"/>
  <c r="U55" i="166"/>
  <c r="U56" i="166"/>
  <c r="U57" i="166"/>
  <c r="U58" i="166"/>
  <c r="U59" i="166"/>
  <c r="V18" i="166"/>
  <c r="U60" i="166"/>
  <c r="U61" i="166"/>
  <c r="U88" i="166"/>
  <c r="U62" i="166"/>
  <c r="U63" i="166"/>
  <c r="U65" i="166"/>
  <c r="U64" i="166"/>
  <c r="U66" i="166"/>
  <c r="U68" i="166"/>
  <c r="U70" i="166"/>
  <c r="U73" i="166"/>
  <c r="U86" i="166"/>
  <c r="U87" i="166"/>
  <c r="U76" i="166"/>
  <c r="U77" i="166"/>
  <c r="U79" i="166"/>
  <c r="U142" i="166"/>
  <c r="V45" i="166"/>
  <c r="V46" i="166"/>
  <c r="V51" i="166"/>
  <c r="V52" i="166"/>
  <c r="V50" i="166"/>
  <c r="V53" i="166"/>
  <c r="V54" i="166"/>
  <c r="V55" i="166"/>
  <c r="V56" i="166"/>
  <c r="V57" i="166"/>
  <c r="V58" i="166"/>
  <c r="V59" i="166"/>
  <c r="W18" i="166"/>
  <c r="V60" i="166"/>
  <c r="V61" i="166"/>
  <c r="V88" i="166"/>
  <c r="V62" i="166"/>
  <c r="V63" i="166"/>
  <c r="V65" i="166"/>
  <c r="V64" i="166"/>
  <c r="V66" i="166"/>
  <c r="V68" i="166"/>
  <c r="V70" i="166"/>
  <c r="V73" i="166"/>
  <c r="V86" i="166"/>
  <c r="V87" i="166"/>
  <c r="V76" i="166"/>
  <c r="V77" i="166"/>
  <c r="V79" i="166"/>
  <c r="V142" i="166"/>
  <c r="W45" i="166"/>
  <c r="W46" i="166"/>
  <c r="W51" i="166"/>
  <c r="W52" i="166"/>
  <c r="W50" i="166"/>
  <c r="W53" i="166"/>
  <c r="W54" i="166"/>
  <c r="W55" i="166"/>
  <c r="W56" i="166"/>
  <c r="W57" i="166"/>
  <c r="W58" i="166"/>
  <c r="W59" i="166"/>
  <c r="X18" i="166"/>
  <c r="W60" i="166"/>
  <c r="W61" i="166"/>
  <c r="W88" i="166"/>
  <c r="W62" i="166"/>
  <c r="W63" i="166"/>
  <c r="W65" i="166"/>
  <c r="W64" i="166"/>
  <c r="W66" i="166"/>
  <c r="W68" i="166"/>
  <c r="W70" i="166"/>
  <c r="W73" i="166"/>
  <c r="W86" i="166"/>
  <c r="W87" i="166"/>
  <c r="W76" i="166"/>
  <c r="W77" i="166"/>
  <c r="W79" i="166"/>
  <c r="W142" i="166"/>
  <c r="X45" i="166"/>
  <c r="X46" i="166"/>
  <c r="X51" i="166"/>
  <c r="X52" i="166"/>
  <c r="X50" i="166"/>
  <c r="X53" i="166"/>
  <c r="X54" i="166"/>
  <c r="X55" i="166"/>
  <c r="X56" i="166"/>
  <c r="X57" i="166"/>
  <c r="X58" i="166"/>
  <c r="X59" i="166"/>
  <c r="Y18" i="166"/>
  <c r="X60" i="166"/>
  <c r="X61" i="166"/>
  <c r="X88" i="166"/>
  <c r="X62" i="166"/>
  <c r="X63" i="166"/>
  <c r="X65" i="166"/>
  <c r="X64" i="166"/>
  <c r="X66" i="166"/>
  <c r="X68" i="166"/>
  <c r="X70" i="166"/>
  <c r="X73" i="166"/>
  <c r="X86" i="166"/>
  <c r="X87" i="166"/>
  <c r="X76" i="166"/>
  <c r="X77" i="166"/>
  <c r="X79" i="166"/>
  <c r="X142" i="166"/>
  <c r="Y45" i="166"/>
  <c r="Y46" i="166"/>
  <c r="Y51" i="166"/>
  <c r="Y52" i="166"/>
  <c r="Y50" i="166"/>
  <c r="Y53" i="166"/>
  <c r="Y54" i="166"/>
  <c r="Y55" i="166"/>
  <c r="Y56" i="166"/>
  <c r="Y57" i="166"/>
  <c r="Y58" i="166"/>
  <c r="Y59" i="166"/>
  <c r="Z18" i="166"/>
  <c r="Y60" i="166"/>
  <c r="Y61" i="166"/>
  <c r="Y88" i="166"/>
  <c r="Y62" i="166"/>
  <c r="Y63" i="166"/>
  <c r="Y65" i="166"/>
  <c r="Y64" i="166"/>
  <c r="Y66" i="166"/>
  <c r="Y68" i="166"/>
  <c r="Y70" i="166"/>
  <c r="Y73" i="166"/>
  <c r="Y86" i="166"/>
  <c r="Y87" i="166"/>
  <c r="Y76" i="166"/>
  <c r="Y77" i="166"/>
  <c r="Y79" i="166"/>
  <c r="Y142" i="166"/>
  <c r="Z45" i="166"/>
  <c r="Z46" i="166"/>
  <c r="Z50" i="166"/>
  <c r="Z51" i="166"/>
  <c r="B28" i="166"/>
  <c r="Z52" i="166"/>
  <c r="Z53" i="166"/>
  <c r="Z54" i="166"/>
  <c r="Z55" i="166"/>
  <c r="Z56" i="166"/>
  <c r="Z57" i="166"/>
  <c r="Z58" i="166"/>
  <c r="Z59" i="166"/>
  <c r="AA18" i="166"/>
  <c r="Z60" i="166"/>
  <c r="Z61" i="166"/>
  <c r="Z88" i="166"/>
  <c r="Z62" i="166"/>
  <c r="Z63" i="166"/>
  <c r="Z65" i="166"/>
  <c r="Z64" i="166"/>
  <c r="Z66" i="166"/>
  <c r="Z68" i="166"/>
  <c r="Z70" i="166"/>
  <c r="Z73" i="166"/>
  <c r="Z86" i="166"/>
  <c r="Z87" i="166"/>
  <c r="Z76" i="166"/>
  <c r="Z77" i="166"/>
  <c r="Z79" i="166"/>
  <c r="Z142" i="166"/>
  <c r="AA45" i="166"/>
  <c r="AA46" i="166"/>
  <c r="AA50" i="166"/>
  <c r="AA51" i="166"/>
  <c r="AA52" i="166"/>
  <c r="AA53" i="166"/>
  <c r="AA54" i="166"/>
  <c r="AA55" i="166"/>
  <c r="AA56" i="166"/>
  <c r="AA57" i="166"/>
  <c r="AA58" i="166"/>
  <c r="AA59" i="166"/>
  <c r="AB18" i="166"/>
  <c r="AA60" i="166"/>
  <c r="AA61" i="166"/>
  <c r="AA88" i="166"/>
  <c r="AA62" i="166"/>
  <c r="AA63" i="166"/>
  <c r="AA65" i="166"/>
  <c r="AA64" i="166"/>
  <c r="AA66" i="166"/>
  <c r="AA68" i="166"/>
  <c r="AA70" i="166"/>
  <c r="AA73" i="166"/>
  <c r="AA86" i="166"/>
  <c r="AA87" i="166"/>
  <c r="AA76" i="166"/>
  <c r="AA77" i="166"/>
  <c r="AA79" i="166"/>
  <c r="AA142" i="166"/>
  <c r="AB45" i="166"/>
  <c r="AB46" i="166"/>
  <c r="AB50" i="166"/>
  <c r="AB51" i="166"/>
  <c r="AB52" i="166"/>
  <c r="AB53" i="166"/>
  <c r="AB54" i="166"/>
  <c r="AB55" i="166"/>
  <c r="AB56" i="166"/>
  <c r="AB57" i="166"/>
  <c r="AB58" i="166"/>
  <c r="AB59" i="166"/>
  <c r="AC18" i="166"/>
  <c r="AB60" i="166"/>
  <c r="AB61" i="166"/>
  <c r="AB88" i="166"/>
  <c r="AB62" i="166"/>
  <c r="AB63" i="166"/>
  <c r="AB65" i="166"/>
  <c r="AB64" i="166"/>
  <c r="AB66" i="166"/>
  <c r="AB68" i="166"/>
  <c r="AB70" i="166"/>
  <c r="AB73" i="166"/>
  <c r="AB86" i="166"/>
  <c r="AB87" i="166"/>
  <c r="AB76" i="166"/>
  <c r="AB77" i="166"/>
  <c r="AB79" i="166"/>
  <c r="AB142" i="166"/>
  <c r="AC45" i="166"/>
  <c r="AC46" i="166"/>
  <c r="AC50" i="166"/>
  <c r="AC51" i="166"/>
  <c r="AC52" i="166"/>
  <c r="AC53" i="166"/>
  <c r="AC54" i="166"/>
  <c r="AC55" i="166"/>
  <c r="AC56" i="166"/>
  <c r="AC57" i="166"/>
  <c r="AC58" i="166"/>
  <c r="AC59" i="166"/>
  <c r="AD18" i="166"/>
  <c r="AC60" i="166"/>
  <c r="AC61" i="166"/>
  <c r="AC88" i="166"/>
  <c r="AC62" i="166"/>
  <c r="AC63" i="166"/>
  <c r="AC65" i="166"/>
  <c r="AC64" i="166"/>
  <c r="AC66" i="166"/>
  <c r="AC68" i="166"/>
  <c r="AC70" i="166"/>
  <c r="AC73" i="166"/>
  <c r="AC86" i="166"/>
  <c r="AC87" i="166"/>
  <c r="AC76" i="166"/>
  <c r="AC77" i="166"/>
  <c r="AC79" i="166"/>
  <c r="AC142" i="166"/>
  <c r="AD45" i="166"/>
  <c r="AD46" i="166"/>
  <c r="AD50" i="166"/>
  <c r="AD51" i="166"/>
  <c r="AD52" i="166"/>
  <c r="AD53" i="166"/>
  <c r="AD54" i="166"/>
  <c r="AD55" i="166"/>
  <c r="AD56" i="166"/>
  <c r="AD57" i="166"/>
  <c r="AD58" i="166"/>
  <c r="AD59" i="166"/>
  <c r="AE18" i="166"/>
  <c r="AD60" i="166"/>
  <c r="AD61" i="166"/>
  <c r="AD88" i="166"/>
  <c r="AD62" i="166"/>
  <c r="AD63" i="166"/>
  <c r="AD65" i="166"/>
  <c r="AD64" i="166"/>
  <c r="AD66" i="166"/>
  <c r="AD68" i="166"/>
  <c r="AD70" i="166"/>
  <c r="AD73" i="166"/>
  <c r="AD86" i="166"/>
  <c r="AD87" i="166"/>
  <c r="AD76" i="166"/>
  <c r="AD77" i="166"/>
  <c r="AD79" i="166"/>
  <c r="AD142" i="166"/>
  <c r="AE45" i="166"/>
  <c r="AE46" i="166"/>
  <c r="AE50" i="166"/>
  <c r="AE51" i="166"/>
  <c r="AE52" i="166"/>
  <c r="AE53" i="166"/>
  <c r="AE54" i="166"/>
  <c r="AE55" i="166"/>
  <c r="AE56" i="166"/>
  <c r="AE57" i="166"/>
  <c r="AE58" i="166"/>
  <c r="AE59" i="166"/>
  <c r="AF18" i="166"/>
  <c r="AE60" i="166"/>
  <c r="AE61" i="166"/>
  <c r="AE88" i="166"/>
  <c r="AE62" i="166"/>
  <c r="AE63" i="166"/>
  <c r="AE65" i="166"/>
  <c r="AE64" i="166"/>
  <c r="AE66" i="166"/>
  <c r="AE68" i="166"/>
  <c r="AE70" i="166"/>
  <c r="AE73" i="166"/>
  <c r="AE86" i="166"/>
  <c r="AE87" i="166"/>
  <c r="AE76" i="166"/>
  <c r="AE77" i="166"/>
  <c r="AE79" i="166"/>
  <c r="AE142" i="166"/>
  <c r="AF45" i="166"/>
  <c r="AF46" i="166"/>
  <c r="AF50" i="166"/>
  <c r="AF51" i="166"/>
  <c r="AF52" i="166"/>
  <c r="AF53" i="166"/>
  <c r="AF54" i="166"/>
  <c r="AF55" i="166"/>
  <c r="AF56" i="166"/>
  <c r="AF57" i="166"/>
  <c r="AF58" i="166"/>
  <c r="AF59" i="166"/>
  <c r="AG18" i="166"/>
  <c r="AF60" i="166"/>
  <c r="AF61" i="166"/>
  <c r="AF88" i="166"/>
  <c r="AF62" i="166"/>
  <c r="AF63" i="166"/>
  <c r="AF65" i="166"/>
  <c r="AF64" i="166"/>
  <c r="AF66" i="166"/>
  <c r="AF68" i="166"/>
  <c r="AF70" i="166"/>
  <c r="AF73" i="166"/>
  <c r="AF86" i="166"/>
  <c r="AF87" i="166"/>
  <c r="AF76" i="166"/>
  <c r="AF77" i="166"/>
  <c r="AF79" i="166"/>
  <c r="AF142" i="166"/>
  <c r="AG45" i="166"/>
  <c r="AG46" i="166"/>
  <c r="AG50" i="166"/>
  <c r="AG51" i="166"/>
  <c r="AG52" i="166"/>
  <c r="AG53" i="166"/>
  <c r="AG54" i="166"/>
  <c r="AG55" i="166"/>
  <c r="AG56" i="166"/>
  <c r="AG57" i="166"/>
  <c r="AG58" i="166"/>
  <c r="AG59" i="166"/>
  <c r="AH18" i="166"/>
  <c r="AG60" i="166"/>
  <c r="AG61" i="166"/>
  <c r="AG88" i="166"/>
  <c r="AG62" i="166"/>
  <c r="AG63" i="166"/>
  <c r="AG65" i="166"/>
  <c r="AG64" i="166"/>
  <c r="AG66" i="166"/>
  <c r="AG68" i="166"/>
  <c r="AG70" i="166"/>
  <c r="AG73" i="166"/>
  <c r="AG86" i="166"/>
  <c r="AG87" i="166"/>
  <c r="AG76" i="166"/>
  <c r="AG77" i="166"/>
  <c r="AG79" i="166"/>
  <c r="AG142" i="166"/>
  <c r="AH45" i="166"/>
  <c r="AH46" i="166"/>
  <c r="AH50" i="166"/>
  <c r="AH51" i="166"/>
  <c r="AH52" i="166"/>
  <c r="AH53" i="166"/>
  <c r="AH54" i="166"/>
  <c r="AH55" i="166"/>
  <c r="AH56" i="166"/>
  <c r="AH57" i="166"/>
  <c r="AH58" i="166"/>
  <c r="AH59" i="166"/>
  <c r="AI18" i="166"/>
  <c r="AH60" i="166"/>
  <c r="AH61" i="166"/>
  <c r="AH88" i="166"/>
  <c r="AH62" i="166"/>
  <c r="AH63" i="166"/>
  <c r="AH65" i="166"/>
  <c r="AH64" i="166"/>
  <c r="AH66" i="166"/>
  <c r="AH68" i="166"/>
  <c r="AH70" i="166"/>
  <c r="AH73" i="166"/>
  <c r="AH86" i="166"/>
  <c r="AH87" i="166"/>
  <c r="AH76" i="166"/>
  <c r="AH77" i="166"/>
  <c r="AH79" i="166"/>
  <c r="AH142" i="166"/>
  <c r="AI45" i="166"/>
  <c r="AI46" i="166"/>
  <c r="AI50" i="166"/>
  <c r="AI51" i="166"/>
  <c r="AI52" i="166"/>
  <c r="AI53" i="166"/>
  <c r="AI54" i="166"/>
  <c r="AI55" i="166"/>
  <c r="AI56" i="166"/>
  <c r="AI57" i="166"/>
  <c r="AI58" i="166"/>
  <c r="AI59" i="166"/>
  <c r="AJ18" i="166"/>
  <c r="AI60" i="166"/>
  <c r="AI61" i="166"/>
  <c r="AI88" i="166"/>
  <c r="AI62" i="166"/>
  <c r="AI63" i="166"/>
  <c r="AI65" i="166"/>
  <c r="AI64" i="166"/>
  <c r="AI66" i="166"/>
  <c r="AI68" i="166"/>
  <c r="AI70" i="166"/>
  <c r="AI73" i="166"/>
  <c r="AI86" i="166"/>
  <c r="AI87" i="166"/>
  <c r="AI76" i="166"/>
  <c r="AI77" i="166"/>
  <c r="AI79" i="166"/>
  <c r="AI142" i="166"/>
  <c r="C142" i="166"/>
  <c r="C31" i="169"/>
  <c r="B31" i="169"/>
  <c r="E31" i="169"/>
  <c r="F31" i="169"/>
  <c r="G31" i="169"/>
  <c r="H31" i="169"/>
  <c r="I31" i="169"/>
  <c r="J31" i="169"/>
  <c r="K31" i="169"/>
  <c r="L31" i="169"/>
  <c r="M31" i="169"/>
  <c r="N31" i="169"/>
  <c r="O31" i="169"/>
  <c r="P31" i="169"/>
  <c r="Q31" i="169"/>
  <c r="R31" i="169"/>
  <c r="S31" i="169"/>
  <c r="T31" i="169"/>
  <c r="U31" i="169"/>
  <c r="V31" i="169"/>
  <c r="W31" i="169"/>
  <c r="X31" i="169"/>
  <c r="Y31" i="169"/>
  <c r="Z31" i="169"/>
  <c r="AA31" i="169"/>
  <c r="AB31" i="169"/>
  <c r="AC31" i="169"/>
  <c r="AD31" i="169"/>
  <c r="AE31" i="169"/>
  <c r="AF31" i="169"/>
  <c r="AG31" i="169"/>
  <c r="AH31" i="169"/>
  <c r="AI31" i="169"/>
  <c r="D31" i="169"/>
  <c r="K5" i="172"/>
  <c r="B142" i="89"/>
  <c r="B6" i="89"/>
  <c r="B14" i="89"/>
  <c r="B24" i="89"/>
  <c r="G12" i="89"/>
  <c r="E55" i="89"/>
  <c r="E58" i="89"/>
  <c r="E59" i="89"/>
  <c r="E61" i="89"/>
  <c r="E63" i="89"/>
  <c r="E65" i="89"/>
  <c r="G11" i="89"/>
  <c r="E64" i="89"/>
  <c r="E66" i="89"/>
  <c r="E68" i="89"/>
  <c r="B12" i="89"/>
  <c r="B11" i="89"/>
  <c r="B13" i="89"/>
  <c r="E70" i="89"/>
  <c r="H10" i="28"/>
  <c r="H14" i="89"/>
  <c r="E71" i="89"/>
  <c r="I10" i="28"/>
  <c r="B19" i="89"/>
  <c r="E72" i="89"/>
  <c r="E73" i="89"/>
  <c r="G29" i="89"/>
  <c r="G30" i="89"/>
  <c r="E75" i="89"/>
  <c r="E77" i="89"/>
  <c r="E79" i="89"/>
  <c r="E142" i="89"/>
  <c r="M10" i="28"/>
  <c r="B27" i="89"/>
  <c r="B22" i="89"/>
  <c r="F45" i="89"/>
  <c r="B16" i="89"/>
  <c r="F46" i="89"/>
  <c r="L10" i="28"/>
  <c r="B26" i="89"/>
  <c r="F51" i="89"/>
  <c r="F52" i="89"/>
  <c r="B36" i="89"/>
  <c r="J10" i="28"/>
  <c r="B29" i="89"/>
  <c r="K10" i="28"/>
  <c r="B30" i="89"/>
  <c r="F50" i="89"/>
  <c r="F53" i="89"/>
  <c r="B38" i="89"/>
  <c r="F54" i="89"/>
  <c r="F55" i="89"/>
  <c r="B31" i="89"/>
  <c r="B32" i="89"/>
  <c r="B33" i="89"/>
  <c r="F56" i="89"/>
  <c r="B35" i="89"/>
  <c r="F57" i="89"/>
  <c r="F58" i="89"/>
  <c r="F59" i="89"/>
  <c r="G20" i="89"/>
  <c r="G21" i="89"/>
  <c r="G22" i="89"/>
  <c r="G23" i="89"/>
  <c r="G18" i="89"/>
  <c r="F60" i="89"/>
  <c r="F61" i="89"/>
  <c r="G28" i="89"/>
  <c r="F85" i="89"/>
  <c r="T10" i="28"/>
  <c r="G27" i="89"/>
  <c r="F88" i="89"/>
  <c r="F62" i="89"/>
  <c r="F63" i="89"/>
  <c r="F65" i="89"/>
  <c r="F64" i="89"/>
  <c r="F66" i="89"/>
  <c r="F68" i="89"/>
  <c r="F70" i="89"/>
  <c r="F73" i="89"/>
  <c r="F86" i="89"/>
  <c r="F87" i="89"/>
  <c r="F76" i="89"/>
  <c r="F77" i="89"/>
  <c r="F79" i="89"/>
  <c r="F142" i="89"/>
  <c r="B23" i="89"/>
  <c r="G45" i="89"/>
  <c r="G46" i="89"/>
  <c r="G51" i="89"/>
  <c r="G52" i="89"/>
  <c r="G50" i="89"/>
  <c r="G53" i="89"/>
  <c r="G54" i="89"/>
  <c r="G55" i="89"/>
  <c r="G56" i="89"/>
  <c r="G57" i="89"/>
  <c r="G58" i="89"/>
  <c r="G59" i="89"/>
  <c r="H18" i="89"/>
  <c r="G60" i="89"/>
  <c r="G61" i="89"/>
  <c r="F89" i="89"/>
  <c r="G85" i="89"/>
  <c r="G88" i="89"/>
  <c r="G62" i="89"/>
  <c r="G63" i="89"/>
  <c r="G65" i="89"/>
  <c r="G64" i="89"/>
  <c r="G66" i="89"/>
  <c r="G68" i="89"/>
  <c r="G70" i="89"/>
  <c r="G73" i="89"/>
  <c r="G86" i="89"/>
  <c r="G87" i="89"/>
  <c r="G76" i="89"/>
  <c r="G77" i="89"/>
  <c r="G79" i="89"/>
  <c r="G142" i="89"/>
  <c r="H45" i="89"/>
  <c r="H46" i="89"/>
  <c r="H51" i="89"/>
  <c r="H52" i="89"/>
  <c r="H50" i="89"/>
  <c r="H53" i="89"/>
  <c r="H54" i="89"/>
  <c r="H55" i="89"/>
  <c r="H56" i="89"/>
  <c r="H57" i="89"/>
  <c r="H58" i="89"/>
  <c r="H59" i="89"/>
  <c r="I18" i="89"/>
  <c r="H60" i="89"/>
  <c r="H61" i="89"/>
  <c r="G89" i="89"/>
  <c r="H85" i="89"/>
  <c r="H88" i="89"/>
  <c r="H62" i="89"/>
  <c r="H63" i="89"/>
  <c r="H65" i="89"/>
  <c r="H64" i="89"/>
  <c r="H66" i="89"/>
  <c r="H68" i="89"/>
  <c r="H70" i="89"/>
  <c r="H73" i="89"/>
  <c r="H86" i="89"/>
  <c r="H87" i="89"/>
  <c r="H76" i="89"/>
  <c r="H77" i="89"/>
  <c r="H79" i="89"/>
  <c r="H142" i="89"/>
  <c r="I45" i="89"/>
  <c r="I46" i="89"/>
  <c r="I51" i="89"/>
  <c r="I52" i="89"/>
  <c r="I50" i="89"/>
  <c r="I53" i="89"/>
  <c r="I54" i="89"/>
  <c r="I55" i="89"/>
  <c r="I56" i="89"/>
  <c r="I57" i="89"/>
  <c r="I58" i="89"/>
  <c r="I59" i="89"/>
  <c r="J18" i="89"/>
  <c r="I60" i="89"/>
  <c r="I61" i="89"/>
  <c r="H89" i="89"/>
  <c r="I85" i="89"/>
  <c r="I88" i="89"/>
  <c r="I62" i="89"/>
  <c r="I63" i="89"/>
  <c r="I65" i="89"/>
  <c r="I64" i="89"/>
  <c r="I66" i="89"/>
  <c r="I68" i="89"/>
  <c r="I70" i="89"/>
  <c r="I73" i="89"/>
  <c r="I86" i="89"/>
  <c r="I87" i="89"/>
  <c r="I76" i="89"/>
  <c r="I77" i="89"/>
  <c r="I79" i="89"/>
  <c r="I142" i="89"/>
  <c r="J45" i="89"/>
  <c r="J46" i="89"/>
  <c r="J51" i="89"/>
  <c r="J52" i="89"/>
  <c r="J50" i="89"/>
  <c r="J53" i="89"/>
  <c r="J54" i="89"/>
  <c r="J55" i="89"/>
  <c r="J56" i="89"/>
  <c r="J57" i="89"/>
  <c r="J58" i="89"/>
  <c r="J59" i="89"/>
  <c r="K18" i="89"/>
  <c r="J60" i="89"/>
  <c r="J61" i="89"/>
  <c r="I89" i="89"/>
  <c r="J85" i="89"/>
  <c r="J88" i="89"/>
  <c r="J62" i="89"/>
  <c r="J63" i="89"/>
  <c r="J65" i="89"/>
  <c r="J64" i="89"/>
  <c r="J66" i="89"/>
  <c r="J68" i="89"/>
  <c r="J70" i="89"/>
  <c r="J73" i="89"/>
  <c r="J86" i="89"/>
  <c r="J87" i="89"/>
  <c r="J76" i="89"/>
  <c r="J77" i="89"/>
  <c r="J79" i="89"/>
  <c r="J142" i="89"/>
  <c r="K45" i="89"/>
  <c r="K46" i="89"/>
  <c r="K51" i="89"/>
  <c r="K52" i="89"/>
  <c r="K50" i="89"/>
  <c r="K53" i="89"/>
  <c r="K54" i="89"/>
  <c r="K55" i="89"/>
  <c r="K56" i="89"/>
  <c r="K57" i="89"/>
  <c r="K58" i="89"/>
  <c r="K59" i="89"/>
  <c r="L18" i="89"/>
  <c r="K60" i="89"/>
  <c r="K61" i="89"/>
  <c r="J89" i="89"/>
  <c r="K85" i="89"/>
  <c r="K88" i="89"/>
  <c r="K62" i="89"/>
  <c r="K63" i="89"/>
  <c r="K65" i="89"/>
  <c r="K64" i="89"/>
  <c r="K66" i="89"/>
  <c r="K68" i="89"/>
  <c r="K70" i="89"/>
  <c r="K73" i="89"/>
  <c r="K86" i="89"/>
  <c r="K87" i="89"/>
  <c r="K76" i="89"/>
  <c r="K77" i="89"/>
  <c r="K79" i="89"/>
  <c r="K142" i="89"/>
  <c r="L45" i="89"/>
  <c r="L46" i="89"/>
  <c r="L51" i="89"/>
  <c r="L52" i="89"/>
  <c r="L50" i="89"/>
  <c r="L53" i="89"/>
  <c r="L54" i="89"/>
  <c r="L55" i="89"/>
  <c r="L56" i="89"/>
  <c r="L57" i="89"/>
  <c r="L58" i="89"/>
  <c r="L59" i="89"/>
  <c r="M18" i="89"/>
  <c r="L60" i="89"/>
  <c r="L61" i="89"/>
  <c r="K89" i="89"/>
  <c r="L85" i="89"/>
  <c r="L88" i="89"/>
  <c r="L62" i="89"/>
  <c r="L63" i="89"/>
  <c r="L65" i="89"/>
  <c r="L64" i="89"/>
  <c r="L66" i="89"/>
  <c r="L68" i="89"/>
  <c r="L70" i="89"/>
  <c r="L73" i="89"/>
  <c r="L86" i="89"/>
  <c r="L87" i="89"/>
  <c r="L76" i="89"/>
  <c r="L77" i="89"/>
  <c r="L79" i="89"/>
  <c r="L142" i="89"/>
  <c r="M45" i="89"/>
  <c r="M46" i="89"/>
  <c r="M51" i="89"/>
  <c r="M52" i="89"/>
  <c r="M50" i="89"/>
  <c r="M53" i="89"/>
  <c r="M54" i="89"/>
  <c r="M55" i="89"/>
  <c r="M56" i="89"/>
  <c r="M57" i="89"/>
  <c r="M58" i="89"/>
  <c r="M59" i="89"/>
  <c r="N18" i="89"/>
  <c r="M60" i="89"/>
  <c r="M61" i="89"/>
  <c r="L89" i="89"/>
  <c r="M85" i="89"/>
  <c r="M88" i="89"/>
  <c r="M62" i="89"/>
  <c r="M63" i="89"/>
  <c r="M65" i="89"/>
  <c r="M64" i="89"/>
  <c r="M66" i="89"/>
  <c r="M68" i="89"/>
  <c r="M70" i="89"/>
  <c r="M73" i="89"/>
  <c r="M86" i="89"/>
  <c r="M87" i="89"/>
  <c r="M76" i="89"/>
  <c r="M77" i="89"/>
  <c r="M79" i="89"/>
  <c r="M142" i="89"/>
  <c r="N45" i="89"/>
  <c r="N46" i="89"/>
  <c r="N51" i="89"/>
  <c r="N52" i="89"/>
  <c r="N50" i="89"/>
  <c r="N53" i="89"/>
  <c r="N54" i="89"/>
  <c r="N55" i="89"/>
  <c r="N56" i="89"/>
  <c r="N57" i="89"/>
  <c r="N58" i="89"/>
  <c r="N59" i="89"/>
  <c r="O18" i="89"/>
  <c r="N60" i="89"/>
  <c r="N61" i="89"/>
  <c r="M89" i="89"/>
  <c r="N85" i="89"/>
  <c r="N88" i="89"/>
  <c r="N62" i="89"/>
  <c r="N63" i="89"/>
  <c r="N65" i="89"/>
  <c r="N64" i="89"/>
  <c r="N66" i="89"/>
  <c r="N68" i="89"/>
  <c r="N70" i="89"/>
  <c r="N73" i="89"/>
  <c r="N86" i="89"/>
  <c r="N87" i="89"/>
  <c r="N76" i="89"/>
  <c r="N77" i="89"/>
  <c r="N79" i="89"/>
  <c r="N142" i="89"/>
  <c r="O45" i="89"/>
  <c r="O46" i="89"/>
  <c r="O51" i="89"/>
  <c r="O52" i="89"/>
  <c r="O50" i="89"/>
  <c r="O53" i="89"/>
  <c r="O54" i="89"/>
  <c r="O55" i="89"/>
  <c r="O56" i="89"/>
  <c r="B34" i="89"/>
  <c r="O57" i="89"/>
  <c r="O58" i="89"/>
  <c r="O59" i="89"/>
  <c r="P18" i="89"/>
  <c r="O60" i="89"/>
  <c r="O61" i="89"/>
  <c r="N89" i="89"/>
  <c r="O85" i="89"/>
  <c r="O88" i="89"/>
  <c r="O62" i="89"/>
  <c r="O63" i="89"/>
  <c r="O65" i="89"/>
  <c r="O64" i="89"/>
  <c r="O66" i="89"/>
  <c r="O68" i="89"/>
  <c r="O70" i="89"/>
  <c r="O73" i="89"/>
  <c r="O86" i="89"/>
  <c r="O87" i="89"/>
  <c r="O76" i="89"/>
  <c r="O77" i="89"/>
  <c r="O79" i="89"/>
  <c r="O142" i="89"/>
  <c r="P45" i="89"/>
  <c r="P46" i="89"/>
  <c r="P51" i="89"/>
  <c r="P52" i="89"/>
  <c r="P50" i="89"/>
  <c r="P53" i="89"/>
  <c r="P54" i="89"/>
  <c r="P55" i="89"/>
  <c r="P56" i="89"/>
  <c r="P57" i="89"/>
  <c r="P58" i="89"/>
  <c r="P59" i="89"/>
  <c r="Q18" i="89"/>
  <c r="P60" i="89"/>
  <c r="P61" i="89"/>
  <c r="O89" i="89"/>
  <c r="P85" i="89"/>
  <c r="P88" i="89"/>
  <c r="P62" i="89"/>
  <c r="P63" i="89"/>
  <c r="P65" i="89"/>
  <c r="P64" i="89"/>
  <c r="P66" i="89"/>
  <c r="P68" i="89"/>
  <c r="P70" i="89"/>
  <c r="P73" i="89"/>
  <c r="P86" i="89"/>
  <c r="P87" i="89"/>
  <c r="P76" i="89"/>
  <c r="P77" i="89"/>
  <c r="P79" i="89"/>
  <c r="P142" i="89"/>
  <c r="Q45" i="89"/>
  <c r="Q46" i="89"/>
  <c r="Q51" i="89"/>
  <c r="Q52" i="89"/>
  <c r="Q50" i="89"/>
  <c r="Q53" i="89"/>
  <c r="Q54" i="89"/>
  <c r="Q55" i="89"/>
  <c r="Q56" i="89"/>
  <c r="Q57" i="89"/>
  <c r="Q58" i="89"/>
  <c r="Q59" i="89"/>
  <c r="R18" i="89"/>
  <c r="Q60" i="89"/>
  <c r="Q61" i="89"/>
  <c r="P89" i="89"/>
  <c r="Q85" i="89"/>
  <c r="Q88" i="89"/>
  <c r="Q62" i="89"/>
  <c r="Q63" i="89"/>
  <c r="Q65" i="89"/>
  <c r="Q64" i="89"/>
  <c r="Q66" i="89"/>
  <c r="Q68" i="89"/>
  <c r="Q70" i="89"/>
  <c r="Q73" i="89"/>
  <c r="Q86" i="89"/>
  <c r="Q87" i="89"/>
  <c r="Q76" i="89"/>
  <c r="Q77" i="89"/>
  <c r="Q79" i="89"/>
  <c r="Q142" i="89"/>
  <c r="R45" i="89"/>
  <c r="R46" i="89"/>
  <c r="R51" i="89"/>
  <c r="R52" i="89"/>
  <c r="R50" i="89"/>
  <c r="R53" i="89"/>
  <c r="R54" i="89"/>
  <c r="R55" i="89"/>
  <c r="R56" i="89"/>
  <c r="R57" i="89"/>
  <c r="R58" i="89"/>
  <c r="R59" i="89"/>
  <c r="S18" i="89"/>
  <c r="R60" i="89"/>
  <c r="R61" i="89"/>
  <c r="Q89" i="89"/>
  <c r="R85" i="89"/>
  <c r="R88" i="89"/>
  <c r="R62" i="89"/>
  <c r="R63" i="89"/>
  <c r="R65" i="89"/>
  <c r="R64" i="89"/>
  <c r="R66" i="89"/>
  <c r="R68" i="89"/>
  <c r="R70" i="89"/>
  <c r="R73" i="89"/>
  <c r="R86" i="89"/>
  <c r="R87" i="89"/>
  <c r="R76" i="89"/>
  <c r="R77" i="89"/>
  <c r="R79" i="89"/>
  <c r="R142" i="89"/>
  <c r="S45" i="89"/>
  <c r="S46" i="89"/>
  <c r="S51" i="89"/>
  <c r="S52" i="89"/>
  <c r="S50" i="89"/>
  <c r="S53" i="89"/>
  <c r="S54" i="89"/>
  <c r="S55" i="89"/>
  <c r="S56" i="89"/>
  <c r="S57" i="89"/>
  <c r="S58" i="89"/>
  <c r="S59" i="89"/>
  <c r="T18" i="89"/>
  <c r="S60" i="89"/>
  <c r="S61" i="89"/>
  <c r="R89" i="89"/>
  <c r="S85" i="89"/>
  <c r="S88" i="89"/>
  <c r="S62" i="89"/>
  <c r="S63" i="89"/>
  <c r="S65" i="89"/>
  <c r="S64" i="89"/>
  <c r="S66" i="89"/>
  <c r="S68" i="89"/>
  <c r="S70" i="89"/>
  <c r="S73" i="89"/>
  <c r="S86" i="89"/>
  <c r="S87" i="89"/>
  <c r="S76" i="89"/>
  <c r="S77" i="89"/>
  <c r="S79" i="89"/>
  <c r="S142" i="89"/>
  <c r="T45" i="89"/>
  <c r="T46" i="89"/>
  <c r="T51" i="89"/>
  <c r="T52" i="89"/>
  <c r="T50" i="89"/>
  <c r="T53" i="89"/>
  <c r="T54" i="89"/>
  <c r="T55" i="89"/>
  <c r="T56" i="89"/>
  <c r="T57" i="89"/>
  <c r="T58" i="89"/>
  <c r="T59" i="89"/>
  <c r="U18" i="89"/>
  <c r="T60" i="89"/>
  <c r="T61" i="89"/>
  <c r="S89" i="89"/>
  <c r="T85" i="89"/>
  <c r="T88" i="89"/>
  <c r="T62" i="89"/>
  <c r="T63" i="89"/>
  <c r="T65" i="89"/>
  <c r="T64" i="89"/>
  <c r="T66" i="89"/>
  <c r="T68" i="89"/>
  <c r="T70" i="89"/>
  <c r="T73" i="89"/>
  <c r="T86" i="89"/>
  <c r="T87" i="89"/>
  <c r="T76" i="89"/>
  <c r="T77" i="89"/>
  <c r="T79" i="89"/>
  <c r="T142" i="89"/>
  <c r="U45" i="89"/>
  <c r="U46" i="89"/>
  <c r="U51" i="89"/>
  <c r="U52" i="89"/>
  <c r="U50" i="89"/>
  <c r="U53" i="89"/>
  <c r="U54" i="89"/>
  <c r="U55" i="89"/>
  <c r="U56" i="89"/>
  <c r="U57" i="89"/>
  <c r="U58" i="89"/>
  <c r="U59" i="89"/>
  <c r="V18" i="89"/>
  <c r="U60" i="89"/>
  <c r="U61" i="89"/>
  <c r="U88" i="89"/>
  <c r="U62" i="89"/>
  <c r="U63" i="89"/>
  <c r="U65" i="89"/>
  <c r="U64" i="89"/>
  <c r="U66" i="89"/>
  <c r="U68" i="89"/>
  <c r="U70" i="89"/>
  <c r="U73" i="89"/>
  <c r="U86" i="89"/>
  <c r="U87" i="89"/>
  <c r="U76" i="89"/>
  <c r="U77" i="89"/>
  <c r="U79" i="89"/>
  <c r="U142" i="89"/>
  <c r="V45" i="89"/>
  <c r="V46" i="89"/>
  <c r="V51" i="89"/>
  <c r="V52" i="89"/>
  <c r="V50" i="89"/>
  <c r="V53" i="89"/>
  <c r="V54" i="89"/>
  <c r="V55" i="89"/>
  <c r="V56" i="89"/>
  <c r="V57" i="89"/>
  <c r="V58" i="89"/>
  <c r="V59" i="89"/>
  <c r="W18" i="89"/>
  <c r="V60" i="89"/>
  <c r="V61" i="89"/>
  <c r="V88" i="89"/>
  <c r="V62" i="89"/>
  <c r="V63" i="89"/>
  <c r="V65" i="89"/>
  <c r="V64" i="89"/>
  <c r="V66" i="89"/>
  <c r="V68" i="89"/>
  <c r="V70" i="89"/>
  <c r="V73" i="89"/>
  <c r="V86" i="89"/>
  <c r="V87" i="89"/>
  <c r="V76" i="89"/>
  <c r="V77" i="89"/>
  <c r="V79" i="89"/>
  <c r="V142" i="89"/>
  <c r="W45" i="89"/>
  <c r="W46" i="89"/>
  <c r="W51" i="89"/>
  <c r="W52" i="89"/>
  <c r="W50" i="89"/>
  <c r="W53" i="89"/>
  <c r="W54" i="89"/>
  <c r="W55" i="89"/>
  <c r="W56" i="89"/>
  <c r="W57" i="89"/>
  <c r="W58" i="89"/>
  <c r="W59" i="89"/>
  <c r="X18" i="89"/>
  <c r="W60" i="89"/>
  <c r="W61" i="89"/>
  <c r="W88" i="89"/>
  <c r="W62" i="89"/>
  <c r="W63" i="89"/>
  <c r="W65" i="89"/>
  <c r="W64" i="89"/>
  <c r="W66" i="89"/>
  <c r="W68" i="89"/>
  <c r="W70" i="89"/>
  <c r="W73" i="89"/>
  <c r="W86" i="89"/>
  <c r="W87" i="89"/>
  <c r="W76" i="89"/>
  <c r="W77" i="89"/>
  <c r="W79" i="89"/>
  <c r="W142" i="89"/>
  <c r="X45" i="89"/>
  <c r="X46" i="89"/>
  <c r="X51" i="89"/>
  <c r="X52" i="89"/>
  <c r="X50" i="89"/>
  <c r="X53" i="89"/>
  <c r="X54" i="89"/>
  <c r="X55" i="89"/>
  <c r="X56" i="89"/>
  <c r="X57" i="89"/>
  <c r="X58" i="89"/>
  <c r="X59" i="89"/>
  <c r="Y18" i="89"/>
  <c r="X60" i="89"/>
  <c r="X61" i="89"/>
  <c r="X88" i="89"/>
  <c r="X62" i="89"/>
  <c r="X63" i="89"/>
  <c r="X65" i="89"/>
  <c r="X64" i="89"/>
  <c r="X66" i="89"/>
  <c r="X68" i="89"/>
  <c r="X70" i="89"/>
  <c r="X73" i="89"/>
  <c r="X86" i="89"/>
  <c r="X87" i="89"/>
  <c r="X76" i="89"/>
  <c r="X77" i="89"/>
  <c r="X79" i="89"/>
  <c r="X142" i="89"/>
  <c r="Y45" i="89"/>
  <c r="Y46" i="89"/>
  <c r="Y51" i="89"/>
  <c r="Y52" i="89"/>
  <c r="Y50" i="89"/>
  <c r="Y53" i="89"/>
  <c r="Y54" i="89"/>
  <c r="Y55" i="89"/>
  <c r="Y56" i="89"/>
  <c r="Y57" i="89"/>
  <c r="Y58" i="89"/>
  <c r="Y59" i="89"/>
  <c r="Z18" i="89"/>
  <c r="Y60" i="89"/>
  <c r="Y61" i="89"/>
  <c r="Y88" i="89"/>
  <c r="Y62" i="89"/>
  <c r="Y63" i="89"/>
  <c r="Y65" i="89"/>
  <c r="Y64" i="89"/>
  <c r="Y66" i="89"/>
  <c r="Y68" i="89"/>
  <c r="Y70" i="89"/>
  <c r="Y73" i="89"/>
  <c r="Y86" i="89"/>
  <c r="Y87" i="89"/>
  <c r="Y76" i="89"/>
  <c r="Y77" i="89"/>
  <c r="Y79" i="89"/>
  <c r="Y142" i="89"/>
  <c r="Z45" i="89"/>
  <c r="Z46" i="89"/>
  <c r="Z50" i="89"/>
  <c r="Z51" i="89"/>
  <c r="N10" i="28"/>
  <c r="B28" i="89"/>
  <c r="Z52" i="89"/>
  <c r="Z53" i="89"/>
  <c r="Z54" i="89"/>
  <c r="Z55" i="89"/>
  <c r="Z56" i="89"/>
  <c r="Z57" i="89"/>
  <c r="Z58" i="89"/>
  <c r="Z59" i="89"/>
  <c r="AA18" i="89"/>
  <c r="Z60" i="89"/>
  <c r="Z61" i="89"/>
  <c r="Z88" i="89"/>
  <c r="Z62" i="89"/>
  <c r="Z63" i="89"/>
  <c r="Z65" i="89"/>
  <c r="Z64" i="89"/>
  <c r="Z66" i="89"/>
  <c r="Z68" i="89"/>
  <c r="Z70" i="89"/>
  <c r="Z73" i="89"/>
  <c r="Z86" i="89"/>
  <c r="Z87" i="89"/>
  <c r="Z76" i="89"/>
  <c r="Z77" i="89"/>
  <c r="Z79" i="89"/>
  <c r="Z142" i="89"/>
  <c r="AA45" i="89"/>
  <c r="AA46" i="89"/>
  <c r="AA50" i="89"/>
  <c r="AA51" i="89"/>
  <c r="AA52" i="89"/>
  <c r="AA53" i="89"/>
  <c r="AA54" i="89"/>
  <c r="AA55" i="89"/>
  <c r="AA56" i="89"/>
  <c r="AA57" i="89"/>
  <c r="AA58" i="89"/>
  <c r="AA59" i="89"/>
  <c r="AB18" i="89"/>
  <c r="AA60" i="89"/>
  <c r="AA61" i="89"/>
  <c r="AA88" i="89"/>
  <c r="AA62" i="89"/>
  <c r="AA63" i="89"/>
  <c r="AA65" i="89"/>
  <c r="AA64" i="89"/>
  <c r="AA66" i="89"/>
  <c r="AA68" i="89"/>
  <c r="AA70" i="89"/>
  <c r="AA73" i="89"/>
  <c r="AA86" i="89"/>
  <c r="AA87" i="89"/>
  <c r="AA76" i="89"/>
  <c r="AA77" i="89"/>
  <c r="AA79" i="89"/>
  <c r="AA142" i="89"/>
  <c r="AB45" i="89"/>
  <c r="AB46" i="89"/>
  <c r="AB50" i="89"/>
  <c r="AB51" i="89"/>
  <c r="AB52" i="89"/>
  <c r="AB53" i="89"/>
  <c r="AB54" i="89"/>
  <c r="AB55" i="89"/>
  <c r="AB56" i="89"/>
  <c r="AB57" i="89"/>
  <c r="AB58" i="89"/>
  <c r="AB59" i="89"/>
  <c r="AC18" i="89"/>
  <c r="AB60" i="89"/>
  <c r="AB61" i="89"/>
  <c r="AB88" i="89"/>
  <c r="AB62" i="89"/>
  <c r="AB63" i="89"/>
  <c r="AB65" i="89"/>
  <c r="AB64" i="89"/>
  <c r="AB66" i="89"/>
  <c r="AB68" i="89"/>
  <c r="AB70" i="89"/>
  <c r="AB73" i="89"/>
  <c r="AB86" i="89"/>
  <c r="AB87" i="89"/>
  <c r="AB76" i="89"/>
  <c r="AB77" i="89"/>
  <c r="AB79" i="89"/>
  <c r="AB142" i="89"/>
  <c r="AC45" i="89"/>
  <c r="AC46" i="89"/>
  <c r="AC50" i="89"/>
  <c r="AC51" i="89"/>
  <c r="AC52" i="89"/>
  <c r="AC53" i="89"/>
  <c r="AC54" i="89"/>
  <c r="AC55" i="89"/>
  <c r="AC56" i="89"/>
  <c r="AC57" i="89"/>
  <c r="AC58" i="89"/>
  <c r="AC59" i="89"/>
  <c r="AD18" i="89"/>
  <c r="AC60" i="89"/>
  <c r="AC61" i="89"/>
  <c r="AC88" i="89"/>
  <c r="AC62" i="89"/>
  <c r="AC63" i="89"/>
  <c r="AC65" i="89"/>
  <c r="AC64" i="89"/>
  <c r="AC66" i="89"/>
  <c r="AC68" i="89"/>
  <c r="AC70" i="89"/>
  <c r="AC73" i="89"/>
  <c r="AC86" i="89"/>
  <c r="AC87" i="89"/>
  <c r="AC76" i="89"/>
  <c r="AC77" i="89"/>
  <c r="AC79" i="89"/>
  <c r="AC142" i="89"/>
  <c r="AD45" i="89"/>
  <c r="AD46" i="89"/>
  <c r="AD50" i="89"/>
  <c r="AD51" i="89"/>
  <c r="AD52" i="89"/>
  <c r="AD53" i="89"/>
  <c r="AD54" i="89"/>
  <c r="AD55" i="89"/>
  <c r="AD56" i="89"/>
  <c r="AD57" i="89"/>
  <c r="AD58" i="89"/>
  <c r="AD59" i="89"/>
  <c r="AE18" i="89"/>
  <c r="AD60" i="89"/>
  <c r="AD61" i="89"/>
  <c r="AD88" i="89"/>
  <c r="AD62" i="89"/>
  <c r="AD63" i="89"/>
  <c r="AD65" i="89"/>
  <c r="AD64" i="89"/>
  <c r="AD66" i="89"/>
  <c r="AD68" i="89"/>
  <c r="AD70" i="89"/>
  <c r="AD73" i="89"/>
  <c r="AD86" i="89"/>
  <c r="AD87" i="89"/>
  <c r="AD76" i="89"/>
  <c r="AD77" i="89"/>
  <c r="AD79" i="89"/>
  <c r="AD142" i="89"/>
  <c r="AE45" i="89"/>
  <c r="AE46" i="89"/>
  <c r="AE50" i="89"/>
  <c r="AE51" i="89"/>
  <c r="AE52" i="89"/>
  <c r="AE53" i="89"/>
  <c r="AE54" i="89"/>
  <c r="AE55" i="89"/>
  <c r="AE56" i="89"/>
  <c r="AE57" i="89"/>
  <c r="AE58" i="89"/>
  <c r="AE59" i="89"/>
  <c r="AF18" i="89"/>
  <c r="AE60" i="89"/>
  <c r="AE61" i="89"/>
  <c r="AE88" i="89"/>
  <c r="AE62" i="89"/>
  <c r="AE63" i="89"/>
  <c r="AE65" i="89"/>
  <c r="AE64" i="89"/>
  <c r="AE66" i="89"/>
  <c r="AE68" i="89"/>
  <c r="AE70" i="89"/>
  <c r="AE73" i="89"/>
  <c r="AE86" i="89"/>
  <c r="AE87" i="89"/>
  <c r="AE76" i="89"/>
  <c r="AE77" i="89"/>
  <c r="AE79" i="89"/>
  <c r="AE142" i="89"/>
  <c r="AF45" i="89"/>
  <c r="AF46" i="89"/>
  <c r="AF50" i="89"/>
  <c r="AF51" i="89"/>
  <c r="AF52" i="89"/>
  <c r="AF53" i="89"/>
  <c r="AF54" i="89"/>
  <c r="AF55" i="89"/>
  <c r="AF56" i="89"/>
  <c r="AF57" i="89"/>
  <c r="AF58" i="89"/>
  <c r="AF59" i="89"/>
  <c r="AG18" i="89"/>
  <c r="AF60" i="89"/>
  <c r="AF61" i="89"/>
  <c r="AF88" i="89"/>
  <c r="AF62" i="89"/>
  <c r="AF63" i="89"/>
  <c r="AF65" i="89"/>
  <c r="AF64" i="89"/>
  <c r="AF66" i="89"/>
  <c r="AF68" i="89"/>
  <c r="AF70" i="89"/>
  <c r="AF73" i="89"/>
  <c r="AF86" i="89"/>
  <c r="AF87" i="89"/>
  <c r="AF76" i="89"/>
  <c r="AF77" i="89"/>
  <c r="AF79" i="89"/>
  <c r="AF142" i="89"/>
  <c r="AG45" i="89"/>
  <c r="AG46" i="89"/>
  <c r="AG50" i="89"/>
  <c r="AG51" i="89"/>
  <c r="AG52" i="89"/>
  <c r="AG53" i="89"/>
  <c r="AG54" i="89"/>
  <c r="AG55" i="89"/>
  <c r="AG56" i="89"/>
  <c r="AG57" i="89"/>
  <c r="AG58" i="89"/>
  <c r="AG59" i="89"/>
  <c r="AH18" i="89"/>
  <c r="AG60" i="89"/>
  <c r="AG61" i="89"/>
  <c r="AG88" i="89"/>
  <c r="AG62" i="89"/>
  <c r="AG63" i="89"/>
  <c r="AG65" i="89"/>
  <c r="AG64" i="89"/>
  <c r="AG66" i="89"/>
  <c r="AG68" i="89"/>
  <c r="AG70" i="89"/>
  <c r="AG73" i="89"/>
  <c r="AG86" i="89"/>
  <c r="AG87" i="89"/>
  <c r="AG76" i="89"/>
  <c r="AG77" i="89"/>
  <c r="AG79" i="89"/>
  <c r="AG142" i="89"/>
  <c r="AH45" i="89"/>
  <c r="AH46" i="89"/>
  <c r="AH50" i="89"/>
  <c r="AH51" i="89"/>
  <c r="AH52" i="89"/>
  <c r="AH53" i="89"/>
  <c r="AH54" i="89"/>
  <c r="AH55" i="89"/>
  <c r="AH56" i="89"/>
  <c r="AH57" i="89"/>
  <c r="AH58" i="89"/>
  <c r="AH59" i="89"/>
  <c r="AI18" i="89"/>
  <c r="AH60" i="89"/>
  <c r="AH61" i="89"/>
  <c r="AH88" i="89"/>
  <c r="AH62" i="89"/>
  <c r="AH63" i="89"/>
  <c r="AH65" i="89"/>
  <c r="AH64" i="89"/>
  <c r="AH66" i="89"/>
  <c r="AH68" i="89"/>
  <c r="AH70" i="89"/>
  <c r="AH73" i="89"/>
  <c r="AH86" i="89"/>
  <c r="AH87" i="89"/>
  <c r="AH76" i="89"/>
  <c r="AH77" i="89"/>
  <c r="AH79" i="89"/>
  <c r="AH142" i="89"/>
  <c r="AI45" i="89"/>
  <c r="AI46" i="89"/>
  <c r="AI50" i="89"/>
  <c r="AI51" i="89"/>
  <c r="AI52" i="89"/>
  <c r="AI53" i="89"/>
  <c r="AI54" i="89"/>
  <c r="AI55" i="89"/>
  <c r="AI56" i="89"/>
  <c r="AI57" i="89"/>
  <c r="AI58" i="89"/>
  <c r="AI59" i="89"/>
  <c r="AJ18" i="89"/>
  <c r="AI60" i="89"/>
  <c r="AI61" i="89"/>
  <c r="AI88" i="89"/>
  <c r="AI62" i="89"/>
  <c r="AI63" i="89"/>
  <c r="AI65" i="89"/>
  <c r="AI64" i="89"/>
  <c r="AI66" i="89"/>
  <c r="AI68" i="89"/>
  <c r="AI70" i="89"/>
  <c r="AI73" i="89"/>
  <c r="AI86" i="89"/>
  <c r="AI87" i="89"/>
  <c r="AI76" i="89"/>
  <c r="AI77" i="89"/>
  <c r="AI79" i="89"/>
  <c r="AI142" i="89"/>
  <c r="C142" i="89"/>
  <c r="C10" i="169"/>
  <c r="B10" i="169"/>
  <c r="E10" i="169"/>
  <c r="F10" i="169"/>
  <c r="G10" i="169"/>
  <c r="H10" i="169"/>
  <c r="I10" i="169"/>
  <c r="J10" i="169"/>
  <c r="K10" i="169"/>
  <c r="L10" i="169"/>
  <c r="M10" i="169"/>
  <c r="N10" i="169"/>
  <c r="O10" i="169"/>
  <c r="P10" i="169"/>
  <c r="Q10" i="169"/>
  <c r="R10" i="169"/>
  <c r="S10" i="169"/>
  <c r="T10" i="169"/>
  <c r="U10" i="169"/>
  <c r="V10" i="169"/>
  <c r="W10" i="169"/>
  <c r="X10" i="169"/>
  <c r="Y10" i="169"/>
  <c r="Z10" i="169"/>
  <c r="AA10" i="169"/>
  <c r="AB10" i="169"/>
  <c r="AC10" i="169"/>
  <c r="AD10" i="169"/>
  <c r="AE10" i="169"/>
  <c r="AF10" i="169"/>
  <c r="AG10" i="169"/>
  <c r="AH10" i="169"/>
  <c r="AI10" i="169"/>
  <c r="D10" i="169"/>
  <c r="K4" i="172"/>
  <c r="C158" i="166"/>
  <c r="C47" i="169"/>
  <c r="J5" i="172"/>
  <c r="B15" i="89"/>
  <c r="C158" i="89"/>
  <c r="C26" i="169"/>
  <c r="J4" i="172"/>
  <c r="B154" i="168"/>
  <c r="B37" i="168"/>
  <c r="E143" i="168"/>
  <c r="G31" i="168"/>
  <c r="G32" i="168"/>
  <c r="I31" i="168"/>
  <c r="I32" i="168"/>
  <c r="E144" i="168"/>
  <c r="E154" i="168"/>
  <c r="G13" i="28"/>
  <c r="B22" i="168"/>
  <c r="J13" i="28"/>
  <c r="K13" i="28"/>
  <c r="F47" i="168"/>
  <c r="F94" i="168"/>
  <c r="F97" i="168"/>
  <c r="F143" i="168"/>
  <c r="I13" i="28"/>
  <c r="T13" i="28"/>
  <c r="I28" i="168"/>
  <c r="F134" i="168"/>
  <c r="F144" i="168"/>
  <c r="F154" i="168"/>
  <c r="B24" i="168"/>
  <c r="B23" i="168"/>
  <c r="G47" i="168"/>
  <c r="G94" i="168"/>
  <c r="G97" i="168"/>
  <c r="G143" i="168"/>
  <c r="G134" i="168"/>
  <c r="G144" i="168"/>
  <c r="G154" i="168"/>
  <c r="H47" i="168"/>
  <c r="H94" i="168"/>
  <c r="H97" i="168"/>
  <c r="H143" i="168"/>
  <c r="H134" i="168"/>
  <c r="H144" i="168"/>
  <c r="H154" i="168"/>
  <c r="I47" i="168"/>
  <c r="I94" i="168"/>
  <c r="I97" i="168"/>
  <c r="I143" i="168"/>
  <c r="I134" i="168"/>
  <c r="I144" i="168"/>
  <c r="I154" i="168"/>
  <c r="J47" i="168"/>
  <c r="J94" i="168"/>
  <c r="J97" i="168"/>
  <c r="J143" i="168"/>
  <c r="J134" i="168"/>
  <c r="J144" i="168"/>
  <c r="J154" i="168"/>
  <c r="K47" i="168"/>
  <c r="K94" i="168"/>
  <c r="K97" i="168"/>
  <c r="K143" i="168"/>
  <c r="K134" i="168"/>
  <c r="K144" i="168"/>
  <c r="K154" i="168"/>
  <c r="L47" i="168"/>
  <c r="L94" i="168"/>
  <c r="L97" i="168"/>
  <c r="L143" i="168"/>
  <c r="L134" i="168"/>
  <c r="L144" i="168"/>
  <c r="L154" i="168"/>
  <c r="M47" i="168"/>
  <c r="M94" i="168"/>
  <c r="M97" i="168"/>
  <c r="M143" i="168"/>
  <c r="M134" i="168"/>
  <c r="M144" i="168"/>
  <c r="M154" i="168"/>
  <c r="N47" i="168"/>
  <c r="N94" i="168"/>
  <c r="N97" i="168"/>
  <c r="N143" i="168"/>
  <c r="N134" i="168"/>
  <c r="N144" i="168"/>
  <c r="N154" i="168"/>
  <c r="O47" i="168"/>
  <c r="O94" i="168"/>
  <c r="O97" i="168"/>
  <c r="O143" i="168"/>
  <c r="O134" i="168"/>
  <c r="O144" i="168"/>
  <c r="O154" i="168"/>
  <c r="P47" i="168"/>
  <c r="P94" i="168"/>
  <c r="P97" i="168"/>
  <c r="P143" i="168"/>
  <c r="P134" i="168"/>
  <c r="P144" i="168"/>
  <c r="P154" i="168"/>
  <c r="Q47" i="168"/>
  <c r="Q94" i="168"/>
  <c r="Q97" i="168"/>
  <c r="Q143" i="168"/>
  <c r="Q134" i="168"/>
  <c r="Q144" i="168"/>
  <c r="Q154" i="168"/>
  <c r="R47" i="168"/>
  <c r="R94" i="168"/>
  <c r="R97" i="168"/>
  <c r="R143" i="168"/>
  <c r="R134" i="168"/>
  <c r="R144" i="168"/>
  <c r="R154" i="168"/>
  <c r="S47" i="168"/>
  <c r="S94" i="168"/>
  <c r="S97" i="168"/>
  <c r="S143" i="168"/>
  <c r="S134" i="168"/>
  <c r="S144" i="168"/>
  <c r="S154" i="168"/>
  <c r="T47" i="168"/>
  <c r="T94" i="168"/>
  <c r="T97" i="168"/>
  <c r="T143" i="168"/>
  <c r="T134" i="168"/>
  <c r="T144" i="168"/>
  <c r="T154" i="168"/>
  <c r="U47" i="168"/>
  <c r="U94" i="168"/>
  <c r="U97" i="168"/>
  <c r="U143" i="168"/>
  <c r="U134" i="168"/>
  <c r="U144" i="168"/>
  <c r="U154" i="168"/>
  <c r="V47" i="168"/>
  <c r="V94" i="168"/>
  <c r="V97" i="168"/>
  <c r="V143" i="168"/>
  <c r="V134" i="168"/>
  <c r="V144" i="168"/>
  <c r="V154" i="168"/>
  <c r="W47" i="168"/>
  <c r="W94" i="168"/>
  <c r="W97" i="168"/>
  <c r="W143" i="168"/>
  <c r="W134" i="168"/>
  <c r="W144" i="168"/>
  <c r="W154" i="168"/>
  <c r="X47" i="168"/>
  <c r="X94" i="168"/>
  <c r="X97" i="168"/>
  <c r="X143" i="168"/>
  <c r="X134" i="168"/>
  <c r="X144" i="168"/>
  <c r="X154" i="168"/>
  <c r="Y47" i="168"/>
  <c r="Y94" i="168"/>
  <c r="Y97" i="168"/>
  <c r="Y143" i="168"/>
  <c r="Y134" i="168"/>
  <c r="Y144" i="168"/>
  <c r="Y154" i="168"/>
  <c r="Z47" i="168"/>
  <c r="Z94" i="168"/>
  <c r="Z97" i="168"/>
  <c r="Z143" i="168"/>
  <c r="Z134" i="168"/>
  <c r="Z144" i="168"/>
  <c r="Z154" i="168"/>
  <c r="AA47" i="168"/>
  <c r="AA94" i="168"/>
  <c r="AA97" i="168"/>
  <c r="AA143" i="168"/>
  <c r="AA134" i="168"/>
  <c r="AA144" i="168"/>
  <c r="AA154" i="168"/>
  <c r="AB47" i="168"/>
  <c r="AB94" i="168"/>
  <c r="AB97" i="168"/>
  <c r="AB143" i="168"/>
  <c r="AB134" i="168"/>
  <c r="AB144" i="168"/>
  <c r="AB154" i="168"/>
  <c r="AC47" i="168"/>
  <c r="AC94" i="168"/>
  <c r="AC97" i="168"/>
  <c r="AC143" i="168"/>
  <c r="AC134" i="168"/>
  <c r="AC144" i="168"/>
  <c r="AC154" i="168"/>
  <c r="AD47" i="168"/>
  <c r="AD94" i="168"/>
  <c r="AD97" i="168"/>
  <c r="AD143" i="168"/>
  <c r="AD134" i="168"/>
  <c r="AD144" i="168"/>
  <c r="AD154" i="168"/>
  <c r="AE47" i="168"/>
  <c r="AE94" i="168"/>
  <c r="AE97" i="168"/>
  <c r="AE143" i="168"/>
  <c r="AE134" i="168"/>
  <c r="AE144" i="168"/>
  <c r="AE154" i="168"/>
  <c r="AF47" i="168"/>
  <c r="AF94" i="168"/>
  <c r="AF97" i="168"/>
  <c r="AF143" i="168"/>
  <c r="AF134" i="168"/>
  <c r="AF144" i="168"/>
  <c r="AF154" i="168"/>
  <c r="AG47" i="168"/>
  <c r="AG94" i="168"/>
  <c r="AG97" i="168"/>
  <c r="AG143" i="168"/>
  <c r="AG134" i="168"/>
  <c r="AG144" i="168"/>
  <c r="AG154" i="168"/>
  <c r="AH47" i="168"/>
  <c r="AH94" i="168"/>
  <c r="AH97" i="168"/>
  <c r="AH143" i="168"/>
  <c r="AH134" i="168"/>
  <c r="AH144" i="168"/>
  <c r="AH154" i="168"/>
  <c r="AI47" i="168"/>
  <c r="AI94" i="168"/>
  <c r="AI97" i="168"/>
  <c r="AI143" i="168"/>
  <c r="AI134" i="168"/>
  <c r="AI144" i="168"/>
  <c r="AI154" i="168"/>
  <c r="C154" i="168"/>
  <c r="C85" i="169"/>
  <c r="I7" i="172"/>
  <c r="B154" i="167"/>
  <c r="B37" i="167"/>
  <c r="E143" i="167"/>
  <c r="G31" i="167"/>
  <c r="G32" i="167"/>
  <c r="I31" i="167"/>
  <c r="I32" i="167"/>
  <c r="E144" i="167"/>
  <c r="E154" i="167"/>
  <c r="B36" i="167"/>
  <c r="G12" i="28"/>
  <c r="B11" i="167"/>
  <c r="B22" i="167"/>
  <c r="F45" i="167"/>
  <c r="B16" i="167"/>
  <c r="F46" i="167"/>
  <c r="J12" i="28"/>
  <c r="B29" i="167"/>
  <c r="K12" i="28"/>
  <c r="B30" i="167"/>
  <c r="F50" i="167"/>
  <c r="F53" i="167"/>
  <c r="F47" i="167"/>
  <c r="F94" i="167"/>
  <c r="F97" i="167"/>
  <c r="F143" i="167"/>
  <c r="G28" i="167"/>
  <c r="F12" i="28"/>
  <c r="B12" i="167"/>
  <c r="B13" i="167"/>
  <c r="G29" i="167"/>
  <c r="H12" i="28"/>
  <c r="I12" i="28"/>
  <c r="B19" i="167"/>
  <c r="G30" i="167"/>
  <c r="F85" i="167"/>
  <c r="T12" i="28"/>
  <c r="G27" i="167"/>
  <c r="F88" i="167"/>
  <c r="I28" i="167"/>
  <c r="F134" i="167"/>
  <c r="F144" i="167"/>
  <c r="F154" i="167"/>
  <c r="B24" i="167"/>
  <c r="B23" i="167"/>
  <c r="G45" i="167"/>
  <c r="G46" i="167"/>
  <c r="G50" i="167"/>
  <c r="G53" i="167"/>
  <c r="G47" i="167"/>
  <c r="G94" i="167"/>
  <c r="G97" i="167"/>
  <c r="G143" i="167"/>
  <c r="F86" i="167"/>
  <c r="F87" i="167"/>
  <c r="F89" i="167"/>
  <c r="G85" i="167"/>
  <c r="G88" i="167"/>
  <c r="G134" i="167"/>
  <c r="G144" i="167"/>
  <c r="G154" i="167"/>
  <c r="H45" i="167"/>
  <c r="H46" i="167"/>
  <c r="H50" i="167"/>
  <c r="H53" i="167"/>
  <c r="H47" i="167"/>
  <c r="H94" i="167"/>
  <c r="H97" i="167"/>
  <c r="H143" i="167"/>
  <c r="G86" i="167"/>
  <c r="G87" i="167"/>
  <c r="G89" i="167"/>
  <c r="H85" i="167"/>
  <c r="H88" i="167"/>
  <c r="H134" i="167"/>
  <c r="H144" i="167"/>
  <c r="H154" i="167"/>
  <c r="I45" i="167"/>
  <c r="I46" i="167"/>
  <c r="I50" i="167"/>
  <c r="I53" i="167"/>
  <c r="I47" i="167"/>
  <c r="I94" i="167"/>
  <c r="I97" i="167"/>
  <c r="I143" i="167"/>
  <c r="H86" i="167"/>
  <c r="H87" i="167"/>
  <c r="H89" i="167"/>
  <c r="I85" i="167"/>
  <c r="I88" i="167"/>
  <c r="I134" i="167"/>
  <c r="I144" i="167"/>
  <c r="I154" i="167"/>
  <c r="J45" i="167"/>
  <c r="J46" i="167"/>
  <c r="J50" i="167"/>
  <c r="J53" i="167"/>
  <c r="J47" i="167"/>
  <c r="J94" i="167"/>
  <c r="J97" i="167"/>
  <c r="J143" i="167"/>
  <c r="I86" i="167"/>
  <c r="I87" i="167"/>
  <c r="I89" i="167"/>
  <c r="J85" i="167"/>
  <c r="J88" i="167"/>
  <c r="J134" i="167"/>
  <c r="J144" i="167"/>
  <c r="J154" i="167"/>
  <c r="K45" i="167"/>
  <c r="K46" i="167"/>
  <c r="K50" i="167"/>
  <c r="K53" i="167"/>
  <c r="K47" i="167"/>
  <c r="K94" i="167"/>
  <c r="K97" i="167"/>
  <c r="K143" i="167"/>
  <c r="J86" i="167"/>
  <c r="J87" i="167"/>
  <c r="J89" i="167"/>
  <c r="K85" i="167"/>
  <c r="K88" i="167"/>
  <c r="K134" i="167"/>
  <c r="K144" i="167"/>
  <c r="K154" i="167"/>
  <c r="L45" i="167"/>
  <c r="L46" i="167"/>
  <c r="L50" i="167"/>
  <c r="L53" i="167"/>
  <c r="L47" i="167"/>
  <c r="L94" i="167"/>
  <c r="L97" i="167"/>
  <c r="L143" i="167"/>
  <c r="K86" i="167"/>
  <c r="K87" i="167"/>
  <c r="K89" i="167"/>
  <c r="L85" i="167"/>
  <c r="L88" i="167"/>
  <c r="L134" i="167"/>
  <c r="L144" i="167"/>
  <c r="L154" i="167"/>
  <c r="M45" i="167"/>
  <c r="M46" i="167"/>
  <c r="M50" i="167"/>
  <c r="M53" i="167"/>
  <c r="M47" i="167"/>
  <c r="M94" i="167"/>
  <c r="M97" i="167"/>
  <c r="M143" i="167"/>
  <c r="L86" i="167"/>
  <c r="L87" i="167"/>
  <c r="L89" i="167"/>
  <c r="M85" i="167"/>
  <c r="M88" i="167"/>
  <c r="M134" i="167"/>
  <c r="M144" i="167"/>
  <c r="M154" i="167"/>
  <c r="N45" i="167"/>
  <c r="N46" i="167"/>
  <c r="N50" i="167"/>
  <c r="N53" i="167"/>
  <c r="N47" i="167"/>
  <c r="N94" i="167"/>
  <c r="N97" i="167"/>
  <c r="N143" i="167"/>
  <c r="M86" i="167"/>
  <c r="M87" i="167"/>
  <c r="M89" i="167"/>
  <c r="N85" i="167"/>
  <c r="N88" i="167"/>
  <c r="N134" i="167"/>
  <c r="N144" i="167"/>
  <c r="N154" i="167"/>
  <c r="O45" i="167"/>
  <c r="O46" i="167"/>
  <c r="O50" i="167"/>
  <c r="O53" i="167"/>
  <c r="O47" i="167"/>
  <c r="O94" i="167"/>
  <c r="O97" i="167"/>
  <c r="O143" i="167"/>
  <c r="N86" i="167"/>
  <c r="N87" i="167"/>
  <c r="N89" i="167"/>
  <c r="O85" i="167"/>
  <c r="O88" i="167"/>
  <c r="O134" i="167"/>
  <c r="O144" i="167"/>
  <c r="O154" i="167"/>
  <c r="P45" i="167"/>
  <c r="P46" i="167"/>
  <c r="P50" i="167"/>
  <c r="P53" i="167"/>
  <c r="P47" i="167"/>
  <c r="P94" i="167"/>
  <c r="P97" i="167"/>
  <c r="P143" i="167"/>
  <c r="O86" i="167"/>
  <c r="O87" i="167"/>
  <c r="O89" i="167"/>
  <c r="P85" i="167"/>
  <c r="P88" i="167"/>
  <c r="P134" i="167"/>
  <c r="P144" i="167"/>
  <c r="P154" i="167"/>
  <c r="Q45" i="167"/>
  <c r="Q46" i="167"/>
  <c r="Q50" i="167"/>
  <c r="Q53" i="167"/>
  <c r="Q47" i="167"/>
  <c r="Q94" i="167"/>
  <c r="Q97" i="167"/>
  <c r="Q143" i="167"/>
  <c r="P86" i="167"/>
  <c r="P87" i="167"/>
  <c r="P89" i="167"/>
  <c r="Q85" i="167"/>
  <c r="Q88" i="167"/>
  <c r="Q134" i="167"/>
  <c r="Q144" i="167"/>
  <c r="Q154" i="167"/>
  <c r="R45" i="167"/>
  <c r="R46" i="167"/>
  <c r="R50" i="167"/>
  <c r="R53" i="167"/>
  <c r="R47" i="167"/>
  <c r="R94" i="167"/>
  <c r="R97" i="167"/>
  <c r="R143" i="167"/>
  <c r="Q86" i="167"/>
  <c r="Q87" i="167"/>
  <c r="Q89" i="167"/>
  <c r="R85" i="167"/>
  <c r="R88" i="167"/>
  <c r="R134" i="167"/>
  <c r="R144" i="167"/>
  <c r="R154" i="167"/>
  <c r="S45" i="167"/>
  <c r="S46" i="167"/>
  <c r="S50" i="167"/>
  <c r="S53" i="167"/>
  <c r="S47" i="167"/>
  <c r="S94" i="167"/>
  <c r="S97" i="167"/>
  <c r="S143" i="167"/>
  <c r="R86" i="167"/>
  <c r="R87" i="167"/>
  <c r="R89" i="167"/>
  <c r="S85" i="167"/>
  <c r="S88" i="167"/>
  <c r="S134" i="167"/>
  <c r="S144" i="167"/>
  <c r="S154" i="167"/>
  <c r="T45" i="167"/>
  <c r="T46" i="167"/>
  <c r="T50" i="167"/>
  <c r="T53" i="167"/>
  <c r="T47" i="167"/>
  <c r="T94" i="167"/>
  <c r="T97" i="167"/>
  <c r="T143" i="167"/>
  <c r="S86" i="167"/>
  <c r="S87" i="167"/>
  <c r="S89" i="167"/>
  <c r="T85" i="167"/>
  <c r="T88" i="167"/>
  <c r="T134" i="167"/>
  <c r="T144" i="167"/>
  <c r="T154" i="167"/>
  <c r="U45" i="167"/>
  <c r="U46" i="167"/>
  <c r="U50" i="167"/>
  <c r="U53" i="167"/>
  <c r="U47" i="167"/>
  <c r="U94" i="167"/>
  <c r="U97" i="167"/>
  <c r="U143" i="167"/>
  <c r="U88" i="167"/>
  <c r="U134" i="167"/>
  <c r="U144" i="167"/>
  <c r="U154" i="167"/>
  <c r="V45" i="167"/>
  <c r="V46" i="167"/>
  <c r="V50" i="167"/>
  <c r="V53" i="167"/>
  <c r="V47" i="167"/>
  <c r="V94" i="167"/>
  <c r="V97" i="167"/>
  <c r="V143" i="167"/>
  <c r="V88" i="167"/>
  <c r="V134" i="167"/>
  <c r="V144" i="167"/>
  <c r="V154" i="167"/>
  <c r="W45" i="167"/>
  <c r="W46" i="167"/>
  <c r="W50" i="167"/>
  <c r="W53" i="167"/>
  <c r="W47" i="167"/>
  <c r="W94" i="167"/>
  <c r="W97" i="167"/>
  <c r="W143" i="167"/>
  <c r="W88" i="167"/>
  <c r="W134" i="167"/>
  <c r="W144" i="167"/>
  <c r="W154" i="167"/>
  <c r="X45" i="167"/>
  <c r="X46" i="167"/>
  <c r="X50" i="167"/>
  <c r="X53" i="167"/>
  <c r="X47" i="167"/>
  <c r="X94" i="167"/>
  <c r="X97" i="167"/>
  <c r="X143" i="167"/>
  <c r="X88" i="167"/>
  <c r="X134" i="167"/>
  <c r="X144" i="167"/>
  <c r="X154" i="167"/>
  <c r="Y45" i="167"/>
  <c r="Y46" i="167"/>
  <c r="Y50" i="167"/>
  <c r="Y53" i="167"/>
  <c r="Y47" i="167"/>
  <c r="Y94" i="167"/>
  <c r="Y97" i="167"/>
  <c r="Y143" i="167"/>
  <c r="Y88" i="167"/>
  <c r="Y134" i="167"/>
  <c r="Y144" i="167"/>
  <c r="Y154" i="167"/>
  <c r="Z45" i="167"/>
  <c r="Z46" i="167"/>
  <c r="Z50" i="167"/>
  <c r="Z53" i="167"/>
  <c r="Z47" i="167"/>
  <c r="Z94" i="167"/>
  <c r="Z97" i="167"/>
  <c r="Z143" i="167"/>
  <c r="Z88" i="167"/>
  <c r="Z134" i="167"/>
  <c r="Z144" i="167"/>
  <c r="Z154" i="167"/>
  <c r="AA45" i="167"/>
  <c r="AA46" i="167"/>
  <c r="AA50" i="167"/>
  <c r="AA53" i="167"/>
  <c r="AA47" i="167"/>
  <c r="AA94" i="167"/>
  <c r="AA97" i="167"/>
  <c r="AA143" i="167"/>
  <c r="AA88" i="167"/>
  <c r="AA134" i="167"/>
  <c r="AA144" i="167"/>
  <c r="AA154" i="167"/>
  <c r="AB45" i="167"/>
  <c r="AB46" i="167"/>
  <c r="AB50" i="167"/>
  <c r="AB53" i="167"/>
  <c r="AB47" i="167"/>
  <c r="AB94" i="167"/>
  <c r="AB97" i="167"/>
  <c r="AB143" i="167"/>
  <c r="AB88" i="167"/>
  <c r="AB134" i="167"/>
  <c r="AB144" i="167"/>
  <c r="AB154" i="167"/>
  <c r="AC45" i="167"/>
  <c r="AC46" i="167"/>
  <c r="AC50" i="167"/>
  <c r="AC53" i="167"/>
  <c r="AC47" i="167"/>
  <c r="AC94" i="167"/>
  <c r="AC97" i="167"/>
  <c r="AC143" i="167"/>
  <c r="AC88" i="167"/>
  <c r="AC134" i="167"/>
  <c r="AC144" i="167"/>
  <c r="AC154" i="167"/>
  <c r="AD45" i="167"/>
  <c r="AD46" i="167"/>
  <c r="AD50" i="167"/>
  <c r="AD53" i="167"/>
  <c r="AD47" i="167"/>
  <c r="AD94" i="167"/>
  <c r="AD97" i="167"/>
  <c r="AD143" i="167"/>
  <c r="AD88" i="167"/>
  <c r="AD134" i="167"/>
  <c r="AD144" i="167"/>
  <c r="AD154" i="167"/>
  <c r="AE45" i="167"/>
  <c r="AE46" i="167"/>
  <c r="AE50" i="167"/>
  <c r="AE53" i="167"/>
  <c r="AE47" i="167"/>
  <c r="AE94" i="167"/>
  <c r="AE97" i="167"/>
  <c r="AE143" i="167"/>
  <c r="AE88" i="167"/>
  <c r="AE134" i="167"/>
  <c r="AE144" i="167"/>
  <c r="AE154" i="167"/>
  <c r="AF45" i="167"/>
  <c r="AF46" i="167"/>
  <c r="AF50" i="167"/>
  <c r="AF53" i="167"/>
  <c r="AF47" i="167"/>
  <c r="AF94" i="167"/>
  <c r="AF97" i="167"/>
  <c r="AF143" i="167"/>
  <c r="AF88" i="167"/>
  <c r="AF134" i="167"/>
  <c r="AF144" i="167"/>
  <c r="AF154" i="167"/>
  <c r="AG45" i="167"/>
  <c r="AG46" i="167"/>
  <c r="AG50" i="167"/>
  <c r="AG53" i="167"/>
  <c r="AG47" i="167"/>
  <c r="AG94" i="167"/>
  <c r="AG97" i="167"/>
  <c r="AG143" i="167"/>
  <c r="AG88" i="167"/>
  <c r="AG134" i="167"/>
  <c r="AG144" i="167"/>
  <c r="AG154" i="167"/>
  <c r="AH45" i="167"/>
  <c r="AH46" i="167"/>
  <c r="AH50" i="167"/>
  <c r="AH53" i="167"/>
  <c r="AH47" i="167"/>
  <c r="AH94" i="167"/>
  <c r="AH97" i="167"/>
  <c r="AH143" i="167"/>
  <c r="AH88" i="167"/>
  <c r="AH134" i="167"/>
  <c r="AH144" i="167"/>
  <c r="AH154" i="167"/>
  <c r="AI45" i="167"/>
  <c r="AI46" i="167"/>
  <c r="AI50" i="167"/>
  <c r="AI53" i="167"/>
  <c r="AI47" i="167"/>
  <c r="AI94" i="167"/>
  <c r="AI97" i="167"/>
  <c r="AI143" i="167"/>
  <c r="AI88" i="167"/>
  <c r="AI134" i="167"/>
  <c r="AI144" i="167"/>
  <c r="AI154" i="167"/>
  <c r="C154" i="167"/>
  <c r="C64" i="169"/>
  <c r="I6" i="172"/>
  <c r="B154" i="166"/>
  <c r="B37" i="166"/>
  <c r="E143" i="166"/>
  <c r="G31" i="166"/>
  <c r="G32" i="166"/>
  <c r="I31" i="166"/>
  <c r="I32" i="166"/>
  <c r="E144" i="166"/>
  <c r="E154" i="166"/>
  <c r="F47" i="166"/>
  <c r="F94" i="166"/>
  <c r="F97" i="166"/>
  <c r="F143" i="166"/>
  <c r="I28" i="166"/>
  <c r="F134" i="166"/>
  <c r="F144" i="166"/>
  <c r="F154" i="166"/>
  <c r="G47" i="166"/>
  <c r="G94" i="166"/>
  <c r="G97" i="166"/>
  <c r="G143" i="166"/>
  <c r="G134" i="166"/>
  <c r="G144" i="166"/>
  <c r="G154" i="166"/>
  <c r="H47" i="166"/>
  <c r="H94" i="166"/>
  <c r="H97" i="166"/>
  <c r="H143" i="166"/>
  <c r="H134" i="166"/>
  <c r="H144" i="166"/>
  <c r="H154" i="166"/>
  <c r="I47" i="166"/>
  <c r="I94" i="166"/>
  <c r="I97" i="166"/>
  <c r="I143" i="166"/>
  <c r="I134" i="166"/>
  <c r="I144" i="166"/>
  <c r="I154" i="166"/>
  <c r="J47" i="166"/>
  <c r="J94" i="166"/>
  <c r="J97" i="166"/>
  <c r="J143" i="166"/>
  <c r="J134" i="166"/>
  <c r="J144" i="166"/>
  <c r="J154" i="166"/>
  <c r="K47" i="166"/>
  <c r="K94" i="166"/>
  <c r="K97" i="166"/>
  <c r="K143" i="166"/>
  <c r="K134" i="166"/>
  <c r="K144" i="166"/>
  <c r="K154" i="166"/>
  <c r="L47" i="166"/>
  <c r="L94" i="166"/>
  <c r="L97" i="166"/>
  <c r="L143" i="166"/>
  <c r="L134" i="166"/>
  <c r="L144" i="166"/>
  <c r="L154" i="166"/>
  <c r="M47" i="166"/>
  <c r="M94" i="166"/>
  <c r="M97" i="166"/>
  <c r="M143" i="166"/>
  <c r="M134" i="166"/>
  <c r="M144" i="166"/>
  <c r="M154" i="166"/>
  <c r="N47" i="166"/>
  <c r="N94" i="166"/>
  <c r="N97" i="166"/>
  <c r="N143" i="166"/>
  <c r="N134" i="166"/>
  <c r="N144" i="166"/>
  <c r="N154" i="166"/>
  <c r="O47" i="166"/>
  <c r="O94" i="166"/>
  <c r="O97" i="166"/>
  <c r="O143" i="166"/>
  <c r="O134" i="166"/>
  <c r="O144" i="166"/>
  <c r="O154" i="166"/>
  <c r="P47" i="166"/>
  <c r="P94" i="166"/>
  <c r="P97" i="166"/>
  <c r="P143" i="166"/>
  <c r="I25" i="166"/>
  <c r="I26" i="166"/>
  <c r="I30" i="166"/>
  <c r="O121" i="166"/>
  <c r="O131" i="166"/>
  <c r="O132" i="166"/>
  <c r="O133" i="166"/>
  <c r="O135" i="166"/>
  <c r="P131" i="166"/>
  <c r="I27" i="166"/>
  <c r="P134" i="166"/>
  <c r="P144" i="166"/>
  <c r="P154" i="166"/>
  <c r="Q47" i="166"/>
  <c r="Q94" i="166"/>
  <c r="Q97" i="166"/>
  <c r="Q143" i="166"/>
  <c r="P132" i="166"/>
  <c r="P133" i="166"/>
  <c r="P135" i="166"/>
  <c r="Q131" i="166"/>
  <c r="Q134" i="166"/>
  <c r="Q144" i="166"/>
  <c r="Q154" i="166"/>
  <c r="R47" i="166"/>
  <c r="R94" i="166"/>
  <c r="R97" i="166"/>
  <c r="R143" i="166"/>
  <c r="Q132" i="166"/>
  <c r="Q133" i="166"/>
  <c r="Q135" i="166"/>
  <c r="R131" i="166"/>
  <c r="R134" i="166"/>
  <c r="R144" i="166"/>
  <c r="R154" i="166"/>
  <c r="S47" i="166"/>
  <c r="S94" i="166"/>
  <c r="S97" i="166"/>
  <c r="S143" i="166"/>
  <c r="R132" i="166"/>
  <c r="R133" i="166"/>
  <c r="R135" i="166"/>
  <c r="S131" i="166"/>
  <c r="S134" i="166"/>
  <c r="S144" i="166"/>
  <c r="S154" i="166"/>
  <c r="T47" i="166"/>
  <c r="T94" i="166"/>
  <c r="T97" i="166"/>
  <c r="T143" i="166"/>
  <c r="S132" i="166"/>
  <c r="S133" i="166"/>
  <c r="S135" i="166"/>
  <c r="T131" i="166"/>
  <c r="T134" i="166"/>
  <c r="T144" i="166"/>
  <c r="T154" i="166"/>
  <c r="U47" i="166"/>
  <c r="U94" i="166"/>
  <c r="U97" i="166"/>
  <c r="U143" i="166"/>
  <c r="T132" i="166"/>
  <c r="T133" i="166"/>
  <c r="T135" i="166"/>
  <c r="U131" i="166"/>
  <c r="U134" i="166"/>
  <c r="U144" i="166"/>
  <c r="U154" i="166"/>
  <c r="V47" i="166"/>
  <c r="V94" i="166"/>
  <c r="V97" i="166"/>
  <c r="V143" i="166"/>
  <c r="U132" i="166"/>
  <c r="U133" i="166"/>
  <c r="U135" i="166"/>
  <c r="V131" i="166"/>
  <c r="V134" i="166"/>
  <c r="V144" i="166"/>
  <c r="V154" i="166"/>
  <c r="W47" i="166"/>
  <c r="W94" i="166"/>
  <c r="W97" i="166"/>
  <c r="W143" i="166"/>
  <c r="V132" i="166"/>
  <c r="V133" i="166"/>
  <c r="V135" i="166"/>
  <c r="W131" i="166"/>
  <c r="W134" i="166"/>
  <c r="W144" i="166"/>
  <c r="W154" i="166"/>
  <c r="X47" i="166"/>
  <c r="X94" i="166"/>
  <c r="X97" i="166"/>
  <c r="X143" i="166"/>
  <c r="W132" i="166"/>
  <c r="W133" i="166"/>
  <c r="W135" i="166"/>
  <c r="X131" i="166"/>
  <c r="X134" i="166"/>
  <c r="X144" i="166"/>
  <c r="X154" i="166"/>
  <c r="Y47" i="166"/>
  <c r="Y94" i="166"/>
  <c r="Y97" i="166"/>
  <c r="Y143" i="166"/>
  <c r="X132" i="166"/>
  <c r="X133" i="166"/>
  <c r="X135" i="166"/>
  <c r="Y131" i="166"/>
  <c r="Y134" i="166"/>
  <c r="Y144" i="166"/>
  <c r="Y154" i="166"/>
  <c r="Z47" i="166"/>
  <c r="Z94" i="166"/>
  <c r="Z97" i="166"/>
  <c r="Z143" i="166"/>
  <c r="Z134" i="166"/>
  <c r="Z144" i="166"/>
  <c r="Z154" i="166"/>
  <c r="AA47" i="166"/>
  <c r="AA94" i="166"/>
  <c r="AA97" i="166"/>
  <c r="AA143" i="166"/>
  <c r="AA134" i="166"/>
  <c r="AA144" i="166"/>
  <c r="AA154" i="166"/>
  <c r="AB47" i="166"/>
  <c r="AB94" i="166"/>
  <c r="AB97" i="166"/>
  <c r="AB143" i="166"/>
  <c r="AB134" i="166"/>
  <c r="AB144" i="166"/>
  <c r="AB154" i="166"/>
  <c r="AC47" i="166"/>
  <c r="AC94" i="166"/>
  <c r="AC97" i="166"/>
  <c r="AC143" i="166"/>
  <c r="AC134" i="166"/>
  <c r="AC144" i="166"/>
  <c r="AC154" i="166"/>
  <c r="AD47" i="166"/>
  <c r="AD94" i="166"/>
  <c r="AD97" i="166"/>
  <c r="AD143" i="166"/>
  <c r="AD134" i="166"/>
  <c r="AD144" i="166"/>
  <c r="AD154" i="166"/>
  <c r="AE47" i="166"/>
  <c r="AE94" i="166"/>
  <c r="AE97" i="166"/>
  <c r="AE143" i="166"/>
  <c r="AE134" i="166"/>
  <c r="AE144" i="166"/>
  <c r="AE154" i="166"/>
  <c r="AF47" i="166"/>
  <c r="AF94" i="166"/>
  <c r="AF97" i="166"/>
  <c r="AF143" i="166"/>
  <c r="AF134" i="166"/>
  <c r="AF144" i="166"/>
  <c r="AF154" i="166"/>
  <c r="AG47" i="166"/>
  <c r="AG94" i="166"/>
  <c r="AG97" i="166"/>
  <c r="AG143" i="166"/>
  <c r="AG134" i="166"/>
  <c r="AG144" i="166"/>
  <c r="AG154" i="166"/>
  <c r="AH47" i="166"/>
  <c r="AH94" i="166"/>
  <c r="AH97" i="166"/>
  <c r="AH143" i="166"/>
  <c r="AH134" i="166"/>
  <c r="AH144" i="166"/>
  <c r="AH154" i="166"/>
  <c r="AI47" i="166"/>
  <c r="AI94" i="166"/>
  <c r="AI97" i="166"/>
  <c r="AI143" i="166"/>
  <c r="AI134" i="166"/>
  <c r="AI144" i="166"/>
  <c r="AI154" i="166"/>
  <c r="C154" i="166"/>
  <c r="C43" i="169"/>
  <c r="I5" i="172"/>
  <c r="B147" i="168"/>
  <c r="M13" i="28"/>
  <c r="L13" i="28"/>
  <c r="F95" i="168"/>
  <c r="F96" i="168"/>
  <c r="F98" i="168"/>
  <c r="F99" i="168"/>
  <c r="B31" i="168"/>
  <c r="B33" i="168"/>
  <c r="F100" i="168"/>
  <c r="B35" i="168"/>
  <c r="F101" i="168"/>
  <c r="F102" i="168"/>
  <c r="F103" i="168"/>
  <c r="F104" i="168"/>
  <c r="F105" i="168"/>
  <c r="F106" i="168"/>
  <c r="F107" i="168"/>
  <c r="F108" i="168"/>
  <c r="F109" i="168"/>
  <c r="F110" i="168"/>
  <c r="F112" i="168"/>
  <c r="F114" i="168"/>
  <c r="F117" i="168"/>
  <c r="F121" i="168"/>
  <c r="F132" i="168"/>
  <c r="F133" i="168"/>
  <c r="F122" i="168"/>
  <c r="F123" i="168"/>
  <c r="F125" i="168"/>
  <c r="F147" i="168"/>
  <c r="G95" i="168"/>
  <c r="G96" i="168"/>
  <c r="G98" i="168"/>
  <c r="G99" i="168"/>
  <c r="G100" i="168"/>
  <c r="G101" i="168"/>
  <c r="G102" i="168"/>
  <c r="G103" i="168"/>
  <c r="G104" i="168"/>
  <c r="G105" i="168"/>
  <c r="G106" i="168"/>
  <c r="G107" i="168"/>
  <c r="G108" i="168"/>
  <c r="G109" i="168"/>
  <c r="G110" i="168"/>
  <c r="G112" i="168"/>
  <c r="G114" i="168"/>
  <c r="G117" i="168"/>
  <c r="G121" i="168"/>
  <c r="G132" i="168"/>
  <c r="G133" i="168"/>
  <c r="G122" i="168"/>
  <c r="G123" i="168"/>
  <c r="G125" i="168"/>
  <c r="G147" i="168"/>
  <c r="H95" i="168"/>
  <c r="H96" i="168"/>
  <c r="H98" i="168"/>
  <c r="H99" i="168"/>
  <c r="H100" i="168"/>
  <c r="H101" i="168"/>
  <c r="H102" i="168"/>
  <c r="H103" i="168"/>
  <c r="H104" i="168"/>
  <c r="H105" i="168"/>
  <c r="H106" i="168"/>
  <c r="H107" i="168"/>
  <c r="H108" i="168"/>
  <c r="H109" i="168"/>
  <c r="H110" i="168"/>
  <c r="H112" i="168"/>
  <c r="H114" i="168"/>
  <c r="H117" i="168"/>
  <c r="H121" i="168"/>
  <c r="H132" i="168"/>
  <c r="H133" i="168"/>
  <c r="H122" i="168"/>
  <c r="H123" i="168"/>
  <c r="H125" i="168"/>
  <c r="H147" i="168"/>
  <c r="I95" i="168"/>
  <c r="I96" i="168"/>
  <c r="I98" i="168"/>
  <c r="I99" i="168"/>
  <c r="I100" i="168"/>
  <c r="I101" i="168"/>
  <c r="I102" i="168"/>
  <c r="I103" i="168"/>
  <c r="I104" i="168"/>
  <c r="I105" i="168"/>
  <c r="I106" i="168"/>
  <c r="I107" i="168"/>
  <c r="I108" i="168"/>
  <c r="I109" i="168"/>
  <c r="I110" i="168"/>
  <c r="I112" i="168"/>
  <c r="I114" i="168"/>
  <c r="I117" i="168"/>
  <c r="I121" i="168"/>
  <c r="I132" i="168"/>
  <c r="I133" i="168"/>
  <c r="I122" i="168"/>
  <c r="I123" i="168"/>
  <c r="I125" i="168"/>
  <c r="I147" i="168"/>
  <c r="J95" i="168"/>
  <c r="J96" i="168"/>
  <c r="J98" i="168"/>
  <c r="J99" i="168"/>
  <c r="J100" i="168"/>
  <c r="J101" i="168"/>
  <c r="J102" i="168"/>
  <c r="J103" i="168"/>
  <c r="J104" i="168"/>
  <c r="J105" i="168"/>
  <c r="J106" i="168"/>
  <c r="J107" i="168"/>
  <c r="J108" i="168"/>
  <c r="J109" i="168"/>
  <c r="J110" i="168"/>
  <c r="J112" i="168"/>
  <c r="J114" i="168"/>
  <c r="J117" i="168"/>
  <c r="J121" i="168"/>
  <c r="J132" i="168"/>
  <c r="J133" i="168"/>
  <c r="J122" i="168"/>
  <c r="J123" i="168"/>
  <c r="J125" i="168"/>
  <c r="J147" i="168"/>
  <c r="K95" i="168"/>
  <c r="K96" i="168"/>
  <c r="K98" i="168"/>
  <c r="K99" i="168"/>
  <c r="K100" i="168"/>
  <c r="K101" i="168"/>
  <c r="K102" i="168"/>
  <c r="K103" i="168"/>
  <c r="K104" i="168"/>
  <c r="K105" i="168"/>
  <c r="K106" i="168"/>
  <c r="K107" i="168"/>
  <c r="K108" i="168"/>
  <c r="K109" i="168"/>
  <c r="K110" i="168"/>
  <c r="K112" i="168"/>
  <c r="K114" i="168"/>
  <c r="K117" i="168"/>
  <c r="K121" i="168"/>
  <c r="K132" i="168"/>
  <c r="K133" i="168"/>
  <c r="K122" i="168"/>
  <c r="K123" i="168"/>
  <c r="K125" i="168"/>
  <c r="K147" i="168"/>
  <c r="L95" i="168"/>
  <c r="L96" i="168"/>
  <c r="L98" i="168"/>
  <c r="L99" i="168"/>
  <c r="L100" i="168"/>
  <c r="L101" i="168"/>
  <c r="L102" i="168"/>
  <c r="L103" i="168"/>
  <c r="L104" i="168"/>
  <c r="L105" i="168"/>
  <c r="L106" i="168"/>
  <c r="L107" i="168"/>
  <c r="L108" i="168"/>
  <c r="L109" i="168"/>
  <c r="L110" i="168"/>
  <c r="L112" i="168"/>
  <c r="L114" i="168"/>
  <c r="L117" i="168"/>
  <c r="L121" i="168"/>
  <c r="L132" i="168"/>
  <c r="L133" i="168"/>
  <c r="L122" i="168"/>
  <c r="L123" i="168"/>
  <c r="L125" i="168"/>
  <c r="L147" i="168"/>
  <c r="M95" i="168"/>
  <c r="M96" i="168"/>
  <c r="M98" i="168"/>
  <c r="M99" i="168"/>
  <c r="M100" i="168"/>
  <c r="M101" i="168"/>
  <c r="M102" i="168"/>
  <c r="M103" i="168"/>
  <c r="M104" i="168"/>
  <c r="M105" i="168"/>
  <c r="M106" i="168"/>
  <c r="M107" i="168"/>
  <c r="M108" i="168"/>
  <c r="M109" i="168"/>
  <c r="M110" i="168"/>
  <c r="M112" i="168"/>
  <c r="M114" i="168"/>
  <c r="M117" i="168"/>
  <c r="M121" i="168"/>
  <c r="M132" i="168"/>
  <c r="M133" i="168"/>
  <c r="M122" i="168"/>
  <c r="M123" i="168"/>
  <c r="M125" i="168"/>
  <c r="M147" i="168"/>
  <c r="N95" i="168"/>
  <c r="N96" i="168"/>
  <c r="N98" i="168"/>
  <c r="N99" i="168"/>
  <c r="N100" i="168"/>
  <c r="N101" i="168"/>
  <c r="N102" i="168"/>
  <c r="N103" i="168"/>
  <c r="N104" i="168"/>
  <c r="N105" i="168"/>
  <c r="N106" i="168"/>
  <c r="N107" i="168"/>
  <c r="N108" i="168"/>
  <c r="N109" i="168"/>
  <c r="N110" i="168"/>
  <c r="N112" i="168"/>
  <c r="N114" i="168"/>
  <c r="N117" i="168"/>
  <c r="N121" i="168"/>
  <c r="N132" i="168"/>
  <c r="N133" i="168"/>
  <c r="N122" i="168"/>
  <c r="N123" i="168"/>
  <c r="N125" i="168"/>
  <c r="N147" i="168"/>
  <c r="O95" i="168"/>
  <c r="O96" i="168"/>
  <c r="O98" i="168"/>
  <c r="O99" i="168"/>
  <c r="O100" i="168"/>
  <c r="B34" i="168"/>
  <c r="O101" i="168"/>
  <c r="O102" i="168"/>
  <c r="O103" i="168"/>
  <c r="O104" i="168"/>
  <c r="O105" i="168"/>
  <c r="O106" i="168"/>
  <c r="O107" i="168"/>
  <c r="O108" i="168"/>
  <c r="O109" i="168"/>
  <c r="O110" i="168"/>
  <c r="O112" i="168"/>
  <c r="O114" i="168"/>
  <c r="O117" i="168"/>
  <c r="O121" i="168"/>
  <c r="O132" i="168"/>
  <c r="O133" i="168"/>
  <c r="O122" i="168"/>
  <c r="O123" i="168"/>
  <c r="O125" i="168"/>
  <c r="O147" i="168"/>
  <c r="P95" i="168"/>
  <c r="P96" i="168"/>
  <c r="P98" i="168"/>
  <c r="P99" i="168"/>
  <c r="P100" i="168"/>
  <c r="P101" i="168"/>
  <c r="P102" i="168"/>
  <c r="P103" i="168"/>
  <c r="P104" i="168"/>
  <c r="P105" i="168"/>
  <c r="P106" i="168"/>
  <c r="P107" i="168"/>
  <c r="P108" i="168"/>
  <c r="P109" i="168"/>
  <c r="P110" i="168"/>
  <c r="P112" i="168"/>
  <c r="P114" i="168"/>
  <c r="P117" i="168"/>
  <c r="P121" i="168"/>
  <c r="P132" i="168"/>
  <c r="P133" i="168"/>
  <c r="P122" i="168"/>
  <c r="P123" i="168"/>
  <c r="P125" i="168"/>
  <c r="P147" i="168"/>
  <c r="Q95" i="168"/>
  <c r="Q96" i="168"/>
  <c r="Q98" i="168"/>
  <c r="Q99" i="168"/>
  <c r="Q100" i="168"/>
  <c r="Q101" i="168"/>
  <c r="Q102" i="168"/>
  <c r="Q103" i="168"/>
  <c r="Q104" i="168"/>
  <c r="Q105" i="168"/>
  <c r="Q106" i="168"/>
  <c r="Q107" i="168"/>
  <c r="Q108" i="168"/>
  <c r="Q109" i="168"/>
  <c r="Q110" i="168"/>
  <c r="Q112" i="168"/>
  <c r="Q114" i="168"/>
  <c r="Q117" i="168"/>
  <c r="Q121" i="168"/>
  <c r="Q132" i="168"/>
  <c r="Q133" i="168"/>
  <c r="Q122" i="168"/>
  <c r="Q123" i="168"/>
  <c r="Q125" i="168"/>
  <c r="Q147" i="168"/>
  <c r="R95" i="168"/>
  <c r="R96" i="168"/>
  <c r="R98" i="168"/>
  <c r="R99" i="168"/>
  <c r="R100" i="168"/>
  <c r="R101" i="168"/>
  <c r="R102" i="168"/>
  <c r="R103" i="168"/>
  <c r="R104" i="168"/>
  <c r="R105" i="168"/>
  <c r="R106" i="168"/>
  <c r="R107" i="168"/>
  <c r="R108" i="168"/>
  <c r="R109" i="168"/>
  <c r="R110" i="168"/>
  <c r="R112" i="168"/>
  <c r="R114" i="168"/>
  <c r="R117" i="168"/>
  <c r="R121" i="168"/>
  <c r="R132" i="168"/>
  <c r="R133" i="168"/>
  <c r="R122" i="168"/>
  <c r="R123" i="168"/>
  <c r="R125" i="168"/>
  <c r="R147" i="168"/>
  <c r="S95" i="168"/>
  <c r="S96" i="168"/>
  <c r="S98" i="168"/>
  <c r="S99" i="168"/>
  <c r="S100" i="168"/>
  <c r="S101" i="168"/>
  <c r="S102" i="168"/>
  <c r="S103" i="168"/>
  <c r="S104" i="168"/>
  <c r="S105" i="168"/>
  <c r="S106" i="168"/>
  <c r="S107" i="168"/>
  <c r="S108" i="168"/>
  <c r="S109" i="168"/>
  <c r="S110" i="168"/>
  <c r="S112" i="168"/>
  <c r="S114" i="168"/>
  <c r="S117" i="168"/>
  <c r="S121" i="168"/>
  <c r="S132" i="168"/>
  <c r="S133" i="168"/>
  <c r="S122" i="168"/>
  <c r="S123" i="168"/>
  <c r="S125" i="168"/>
  <c r="S147" i="168"/>
  <c r="T95" i="168"/>
  <c r="T96" i="168"/>
  <c r="T98" i="168"/>
  <c r="T99" i="168"/>
  <c r="T100" i="168"/>
  <c r="T101" i="168"/>
  <c r="T102" i="168"/>
  <c r="T103" i="168"/>
  <c r="T104" i="168"/>
  <c r="T105" i="168"/>
  <c r="T106" i="168"/>
  <c r="T107" i="168"/>
  <c r="T108" i="168"/>
  <c r="T109" i="168"/>
  <c r="T110" i="168"/>
  <c r="T112" i="168"/>
  <c r="T114" i="168"/>
  <c r="T117" i="168"/>
  <c r="T121" i="168"/>
  <c r="T132" i="168"/>
  <c r="T133" i="168"/>
  <c r="T122" i="168"/>
  <c r="T123" i="168"/>
  <c r="T125" i="168"/>
  <c r="T147" i="168"/>
  <c r="U95" i="168"/>
  <c r="U96" i="168"/>
  <c r="U98" i="168"/>
  <c r="U99" i="168"/>
  <c r="U100" i="168"/>
  <c r="U101" i="168"/>
  <c r="U102" i="168"/>
  <c r="U103" i="168"/>
  <c r="U104" i="168"/>
  <c r="U105" i="168"/>
  <c r="U106" i="168"/>
  <c r="U107" i="168"/>
  <c r="U108" i="168"/>
  <c r="U109" i="168"/>
  <c r="U110" i="168"/>
  <c r="U112" i="168"/>
  <c r="U114" i="168"/>
  <c r="U117" i="168"/>
  <c r="U121" i="168"/>
  <c r="U132" i="168"/>
  <c r="U133" i="168"/>
  <c r="U122" i="168"/>
  <c r="U123" i="168"/>
  <c r="U125" i="168"/>
  <c r="U147" i="168"/>
  <c r="V95" i="168"/>
  <c r="V96" i="168"/>
  <c r="V98" i="168"/>
  <c r="V99" i="168"/>
  <c r="V100" i="168"/>
  <c r="V101" i="168"/>
  <c r="V102" i="168"/>
  <c r="V103" i="168"/>
  <c r="V104" i="168"/>
  <c r="V105" i="168"/>
  <c r="V106" i="168"/>
  <c r="V107" i="168"/>
  <c r="V108" i="168"/>
  <c r="V109" i="168"/>
  <c r="V110" i="168"/>
  <c r="V112" i="168"/>
  <c r="V114" i="168"/>
  <c r="V117" i="168"/>
  <c r="V121" i="168"/>
  <c r="V132" i="168"/>
  <c r="V133" i="168"/>
  <c r="V122" i="168"/>
  <c r="V123" i="168"/>
  <c r="V125" i="168"/>
  <c r="V147" i="168"/>
  <c r="W95" i="168"/>
  <c r="W96" i="168"/>
  <c r="W98" i="168"/>
  <c r="W99" i="168"/>
  <c r="W100" i="168"/>
  <c r="W101" i="168"/>
  <c r="W102" i="168"/>
  <c r="W103" i="168"/>
  <c r="W104" i="168"/>
  <c r="W105" i="168"/>
  <c r="W106" i="168"/>
  <c r="W107" i="168"/>
  <c r="W108" i="168"/>
  <c r="W109" i="168"/>
  <c r="W110" i="168"/>
  <c r="W112" i="168"/>
  <c r="W114" i="168"/>
  <c r="W117" i="168"/>
  <c r="W121" i="168"/>
  <c r="W132" i="168"/>
  <c r="W133" i="168"/>
  <c r="W122" i="168"/>
  <c r="W123" i="168"/>
  <c r="W125" i="168"/>
  <c r="W147" i="168"/>
  <c r="X95" i="168"/>
  <c r="X96" i="168"/>
  <c r="X98" i="168"/>
  <c r="X99" i="168"/>
  <c r="X100" i="168"/>
  <c r="X101" i="168"/>
  <c r="X102" i="168"/>
  <c r="X103" i="168"/>
  <c r="X104" i="168"/>
  <c r="X105" i="168"/>
  <c r="X106" i="168"/>
  <c r="X107" i="168"/>
  <c r="X108" i="168"/>
  <c r="X109" i="168"/>
  <c r="X110" i="168"/>
  <c r="X112" i="168"/>
  <c r="X114" i="168"/>
  <c r="X117" i="168"/>
  <c r="X121" i="168"/>
  <c r="X132" i="168"/>
  <c r="X133" i="168"/>
  <c r="X122" i="168"/>
  <c r="X123" i="168"/>
  <c r="X125" i="168"/>
  <c r="X147" i="168"/>
  <c r="Y95" i="168"/>
  <c r="Y96" i="168"/>
  <c r="Y98" i="168"/>
  <c r="Y99" i="168"/>
  <c r="Y100" i="168"/>
  <c r="Y101" i="168"/>
  <c r="Y102" i="168"/>
  <c r="Y103" i="168"/>
  <c r="Y104" i="168"/>
  <c r="Y105" i="168"/>
  <c r="Y106" i="168"/>
  <c r="Y107" i="168"/>
  <c r="Y108" i="168"/>
  <c r="Y109" i="168"/>
  <c r="Y110" i="168"/>
  <c r="Y112" i="168"/>
  <c r="Y114" i="168"/>
  <c r="Y117" i="168"/>
  <c r="Y121" i="168"/>
  <c r="Y132" i="168"/>
  <c r="Y133" i="168"/>
  <c r="Y122" i="168"/>
  <c r="Y123" i="168"/>
  <c r="Y125" i="168"/>
  <c r="Y147" i="168"/>
  <c r="Z95" i="168"/>
  <c r="Z96" i="168"/>
  <c r="Z98" i="168"/>
  <c r="Z99" i="168"/>
  <c r="Z100" i="168"/>
  <c r="Z101" i="168"/>
  <c r="Z102" i="168"/>
  <c r="Z103" i="168"/>
  <c r="Z104" i="168"/>
  <c r="Z105" i="168"/>
  <c r="Z106" i="168"/>
  <c r="Z107" i="168"/>
  <c r="Z108" i="168"/>
  <c r="Z109" i="168"/>
  <c r="Z110" i="168"/>
  <c r="Z112" i="168"/>
  <c r="Z114" i="168"/>
  <c r="Z117" i="168"/>
  <c r="Z121" i="168"/>
  <c r="Z132" i="168"/>
  <c r="Z133" i="168"/>
  <c r="Z122" i="168"/>
  <c r="Z123" i="168"/>
  <c r="Z125" i="168"/>
  <c r="Z147" i="168"/>
  <c r="AA95" i="168"/>
  <c r="AA96" i="168"/>
  <c r="AA98" i="168"/>
  <c r="AA99" i="168"/>
  <c r="AA100" i="168"/>
  <c r="AA101" i="168"/>
  <c r="AA102" i="168"/>
  <c r="AA103" i="168"/>
  <c r="AA104" i="168"/>
  <c r="AA105" i="168"/>
  <c r="AA106" i="168"/>
  <c r="AA107" i="168"/>
  <c r="AA108" i="168"/>
  <c r="AA109" i="168"/>
  <c r="AA110" i="168"/>
  <c r="AA112" i="168"/>
  <c r="AA114" i="168"/>
  <c r="AA117" i="168"/>
  <c r="AA121" i="168"/>
  <c r="AA132" i="168"/>
  <c r="AA133" i="168"/>
  <c r="AA122" i="168"/>
  <c r="AA123" i="168"/>
  <c r="AA125" i="168"/>
  <c r="AA147" i="168"/>
  <c r="AB95" i="168"/>
  <c r="AB96" i="168"/>
  <c r="AB98" i="168"/>
  <c r="AB99" i="168"/>
  <c r="AB100" i="168"/>
  <c r="AB101" i="168"/>
  <c r="AB102" i="168"/>
  <c r="AB103" i="168"/>
  <c r="AB104" i="168"/>
  <c r="AB105" i="168"/>
  <c r="AB106" i="168"/>
  <c r="AB107" i="168"/>
  <c r="AB108" i="168"/>
  <c r="AB109" i="168"/>
  <c r="AB110" i="168"/>
  <c r="AB112" i="168"/>
  <c r="AB114" i="168"/>
  <c r="AB117" i="168"/>
  <c r="AB121" i="168"/>
  <c r="AB132" i="168"/>
  <c r="AB133" i="168"/>
  <c r="AB122" i="168"/>
  <c r="AB123" i="168"/>
  <c r="AB125" i="168"/>
  <c r="AB147" i="168"/>
  <c r="AC95" i="168"/>
  <c r="AC96" i="168"/>
  <c r="AC98" i="168"/>
  <c r="AC99" i="168"/>
  <c r="AC100" i="168"/>
  <c r="AC101" i="168"/>
  <c r="AC102" i="168"/>
  <c r="AC103" i="168"/>
  <c r="AC104" i="168"/>
  <c r="AC105" i="168"/>
  <c r="AC106" i="168"/>
  <c r="AC107" i="168"/>
  <c r="AC108" i="168"/>
  <c r="AC109" i="168"/>
  <c r="AC110" i="168"/>
  <c r="AC112" i="168"/>
  <c r="AC114" i="168"/>
  <c r="AC117" i="168"/>
  <c r="AC121" i="168"/>
  <c r="AC132" i="168"/>
  <c r="AC133" i="168"/>
  <c r="AC122" i="168"/>
  <c r="AC123" i="168"/>
  <c r="AC125" i="168"/>
  <c r="AC147" i="168"/>
  <c r="AD95" i="168"/>
  <c r="AD96" i="168"/>
  <c r="AD98" i="168"/>
  <c r="AD99" i="168"/>
  <c r="AD100" i="168"/>
  <c r="AD101" i="168"/>
  <c r="AD102" i="168"/>
  <c r="AD103" i="168"/>
  <c r="AD104" i="168"/>
  <c r="AD105" i="168"/>
  <c r="AD106" i="168"/>
  <c r="AD107" i="168"/>
  <c r="AD108" i="168"/>
  <c r="AD109" i="168"/>
  <c r="AD110" i="168"/>
  <c r="AD112" i="168"/>
  <c r="AD114" i="168"/>
  <c r="AD117" i="168"/>
  <c r="AD121" i="168"/>
  <c r="AD132" i="168"/>
  <c r="AD133" i="168"/>
  <c r="AD122" i="168"/>
  <c r="AD123" i="168"/>
  <c r="AD125" i="168"/>
  <c r="AD147" i="168"/>
  <c r="AE95" i="168"/>
  <c r="AE96" i="168"/>
  <c r="AE98" i="168"/>
  <c r="AE99" i="168"/>
  <c r="AE100" i="168"/>
  <c r="AE101" i="168"/>
  <c r="AE102" i="168"/>
  <c r="AE103" i="168"/>
  <c r="AE104" i="168"/>
  <c r="AE105" i="168"/>
  <c r="AE106" i="168"/>
  <c r="AE107" i="168"/>
  <c r="AE108" i="168"/>
  <c r="AE109" i="168"/>
  <c r="AE110" i="168"/>
  <c r="AE112" i="168"/>
  <c r="AE114" i="168"/>
  <c r="AE117" i="168"/>
  <c r="AE121" i="168"/>
  <c r="AE132" i="168"/>
  <c r="AE133" i="168"/>
  <c r="AE122" i="168"/>
  <c r="AE123" i="168"/>
  <c r="AE125" i="168"/>
  <c r="AE147" i="168"/>
  <c r="AF95" i="168"/>
  <c r="AF96" i="168"/>
  <c r="AF98" i="168"/>
  <c r="AF99" i="168"/>
  <c r="AF100" i="168"/>
  <c r="AF101" i="168"/>
  <c r="AF102" i="168"/>
  <c r="AF103" i="168"/>
  <c r="AF104" i="168"/>
  <c r="AF105" i="168"/>
  <c r="AF106" i="168"/>
  <c r="AF107" i="168"/>
  <c r="AF108" i="168"/>
  <c r="AF109" i="168"/>
  <c r="AF110" i="168"/>
  <c r="AF112" i="168"/>
  <c r="AF114" i="168"/>
  <c r="AF117" i="168"/>
  <c r="AF121" i="168"/>
  <c r="AF132" i="168"/>
  <c r="AF133" i="168"/>
  <c r="AF122" i="168"/>
  <c r="AF123" i="168"/>
  <c r="AF125" i="168"/>
  <c r="AF147" i="168"/>
  <c r="AG95" i="168"/>
  <c r="AG96" i="168"/>
  <c r="AG98" i="168"/>
  <c r="AG99" i="168"/>
  <c r="AG100" i="168"/>
  <c r="AG101" i="168"/>
  <c r="AG102" i="168"/>
  <c r="AG103" i="168"/>
  <c r="AG104" i="168"/>
  <c r="AG105" i="168"/>
  <c r="AG106" i="168"/>
  <c r="AG107" i="168"/>
  <c r="AG108" i="168"/>
  <c r="AG109" i="168"/>
  <c r="AG110" i="168"/>
  <c r="AG112" i="168"/>
  <c r="AG114" i="168"/>
  <c r="AG117" i="168"/>
  <c r="AG121" i="168"/>
  <c r="AG132" i="168"/>
  <c r="AG133" i="168"/>
  <c r="AG122" i="168"/>
  <c r="AG123" i="168"/>
  <c r="AG125" i="168"/>
  <c r="AG147" i="168"/>
  <c r="AH95" i="168"/>
  <c r="AH96" i="168"/>
  <c r="AH98" i="168"/>
  <c r="AH99" i="168"/>
  <c r="AH100" i="168"/>
  <c r="AH101" i="168"/>
  <c r="AH102" i="168"/>
  <c r="AH103" i="168"/>
  <c r="AH104" i="168"/>
  <c r="AH105" i="168"/>
  <c r="AH106" i="168"/>
  <c r="AH107" i="168"/>
  <c r="AH108" i="168"/>
  <c r="AH109" i="168"/>
  <c r="AH110" i="168"/>
  <c r="AH112" i="168"/>
  <c r="AH114" i="168"/>
  <c r="AH117" i="168"/>
  <c r="AH121" i="168"/>
  <c r="AH132" i="168"/>
  <c r="AH133" i="168"/>
  <c r="AH122" i="168"/>
  <c r="AH123" i="168"/>
  <c r="AH125" i="168"/>
  <c r="AH147" i="168"/>
  <c r="AI95" i="168"/>
  <c r="AI96" i="168"/>
  <c r="AI98" i="168"/>
  <c r="AI99" i="168"/>
  <c r="AI100" i="168"/>
  <c r="AI101" i="168"/>
  <c r="AI102" i="168"/>
  <c r="AI103" i="168"/>
  <c r="AI104" i="168"/>
  <c r="AI105" i="168"/>
  <c r="AI106" i="168"/>
  <c r="AI107" i="168"/>
  <c r="AI108" i="168"/>
  <c r="AI109" i="168"/>
  <c r="AI110" i="168"/>
  <c r="AI112" i="168"/>
  <c r="AI114" i="168"/>
  <c r="AI117" i="168"/>
  <c r="AI121" i="168"/>
  <c r="AI132" i="168"/>
  <c r="AI133" i="168"/>
  <c r="AI122" i="168"/>
  <c r="AI123" i="168"/>
  <c r="AI125" i="168"/>
  <c r="AI147" i="168"/>
  <c r="E147" i="168"/>
  <c r="C147" i="168"/>
  <c r="C78" i="169"/>
  <c r="D78" i="169"/>
  <c r="H7" i="172"/>
  <c r="B146" i="168"/>
  <c r="E55" i="168"/>
  <c r="E58" i="168"/>
  <c r="E59" i="168"/>
  <c r="E61" i="168"/>
  <c r="E63" i="168"/>
  <c r="E146" i="168"/>
  <c r="F146" i="168"/>
  <c r="G146" i="168"/>
  <c r="H146" i="168"/>
  <c r="I146" i="168"/>
  <c r="J146" i="168"/>
  <c r="K146" i="168"/>
  <c r="L146" i="168"/>
  <c r="M146" i="168"/>
  <c r="N146" i="168"/>
  <c r="O146" i="168"/>
  <c r="P146" i="168"/>
  <c r="Q146" i="168"/>
  <c r="R146" i="168"/>
  <c r="S146" i="168"/>
  <c r="T146" i="168"/>
  <c r="U146" i="168"/>
  <c r="V146" i="168"/>
  <c r="W146" i="168"/>
  <c r="X146" i="168"/>
  <c r="Y146" i="168"/>
  <c r="Z146" i="168"/>
  <c r="AA146" i="168"/>
  <c r="AB146" i="168"/>
  <c r="AC146" i="168"/>
  <c r="AD146" i="168"/>
  <c r="AE146" i="168"/>
  <c r="AF146" i="168"/>
  <c r="AG146" i="168"/>
  <c r="AH146" i="168"/>
  <c r="AI146" i="168"/>
  <c r="C146" i="168"/>
  <c r="C77" i="169"/>
  <c r="B77" i="169"/>
  <c r="E77" i="169"/>
  <c r="F77" i="169"/>
  <c r="G77" i="169"/>
  <c r="H77" i="169"/>
  <c r="I77" i="169"/>
  <c r="J77" i="169"/>
  <c r="K77" i="169"/>
  <c r="L77" i="169"/>
  <c r="M77" i="169"/>
  <c r="N77" i="169"/>
  <c r="O77" i="169"/>
  <c r="P77" i="169"/>
  <c r="Q77" i="169"/>
  <c r="R77" i="169"/>
  <c r="S77" i="169"/>
  <c r="T77" i="169"/>
  <c r="U77" i="169"/>
  <c r="V77" i="169"/>
  <c r="W77" i="169"/>
  <c r="X77" i="169"/>
  <c r="Y77" i="169"/>
  <c r="Z77" i="169"/>
  <c r="AA77" i="169"/>
  <c r="AB77" i="169"/>
  <c r="AC77" i="169"/>
  <c r="AD77" i="169"/>
  <c r="AE77" i="169"/>
  <c r="AF77" i="169"/>
  <c r="AG77" i="169"/>
  <c r="AH77" i="169"/>
  <c r="AI77" i="169"/>
  <c r="D77" i="169"/>
  <c r="G7" i="172"/>
  <c r="B147" i="167"/>
  <c r="M12" i="28"/>
  <c r="B27" i="167"/>
  <c r="L12" i="28"/>
  <c r="B26" i="167"/>
  <c r="F95" i="167"/>
  <c r="F96" i="167"/>
  <c r="B38" i="167"/>
  <c r="F98" i="167"/>
  <c r="F99" i="167"/>
  <c r="B31" i="167"/>
  <c r="B32" i="167"/>
  <c r="B33" i="167"/>
  <c r="F100" i="167"/>
  <c r="B35" i="167"/>
  <c r="F101" i="167"/>
  <c r="F102" i="167"/>
  <c r="F103" i="167"/>
  <c r="G20" i="167"/>
  <c r="G21" i="167"/>
  <c r="H14" i="167"/>
  <c r="G22" i="167"/>
  <c r="G23" i="167"/>
  <c r="G18" i="167"/>
  <c r="F104" i="167"/>
  <c r="F105" i="167"/>
  <c r="F106" i="167"/>
  <c r="F107" i="167"/>
  <c r="G12" i="167"/>
  <c r="F109" i="167"/>
  <c r="G11" i="167"/>
  <c r="F108" i="167"/>
  <c r="F110" i="167"/>
  <c r="F112" i="167"/>
  <c r="F114" i="167"/>
  <c r="F117" i="167"/>
  <c r="F121" i="167"/>
  <c r="F132" i="167"/>
  <c r="F133" i="167"/>
  <c r="F122" i="167"/>
  <c r="F123" i="167"/>
  <c r="F125" i="167"/>
  <c r="F147" i="167"/>
  <c r="G95" i="167"/>
  <c r="G96" i="167"/>
  <c r="G98" i="167"/>
  <c r="G99" i="167"/>
  <c r="G100" i="167"/>
  <c r="G101" i="167"/>
  <c r="G102" i="167"/>
  <c r="G103" i="167"/>
  <c r="H18" i="167"/>
  <c r="G104" i="167"/>
  <c r="G105" i="167"/>
  <c r="G106" i="167"/>
  <c r="G107" i="167"/>
  <c r="G109" i="167"/>
  <c r="G108" i="167"/>
  <c r="G110" i="167"/>
  <c r="G112" i="167"/>
  <c r="G114" i="167"/>
  <c r="G117" i="167"/>
  <c r="G121" i="167"/>
  <c r="G132" i="167"/>
  <c r="G133" i="167"/>
  <c r="G122" i="167"/>
  <c r="G123" i="167"/>
  <c r="G125" i="167"/>
  <c r="G147" i="167"/>
  <c r="H95" i="167"/>
  <c r="H96" i="167"/>
  <c r="H98" i="167"/>
  <c r="H99" i="167"/>
  <c r="H100" i="167"/>
  <c r="H101" i="167"/>
  <c r="H102" i="167"/>
  <c r="H103" i="167"/>
  <c r="I18" i="167"/>
  <c r="H104" i="167"/>
  <c r="H105" i="167"/>
  <c r="H106" i="167"/>
  <c r="H107" i="167"/>
  <c r="H109" i="167"/>
  <c r="H108" i="167"/>
  <c r="H110" i="167"/>
  <c r="H112" i="167"/>
  <c r="H114" i="167"/>
  <c r="H117" i="167"/>
  <c r="H121" i="167"/>
  <c r="H132" i="167"/>
  <c r="H133" i="167"/>
  <c r="H122" i="167"/>
  <c r="H123" i="167"/>
  <c r="H125" i="167"/>
  <c r="H147" i="167"/>
  <c r="I95" i="167"/>
  <c r="I96" i="167"/>
  <c r="I98" i="167"/>
  <c r="I99" i="167"/>
  <c r="I100" i="167"/>
  <c r="I101" i="167"/>
  <c r="I102" i="167"/>
  <c r="I103" i="167"/>
  <c r="J18" i="167"/>
  <c r="I104" i="167"/>
  <c r="I105" i="167"/>
  <c r="I106" i="167"/>
  <c r="I107" i="167"/>
  <c r="I109" i="167"/>
  <c r="I108" i="167"/>
  <c r="I110" i="167"/>
  <c r="I112" i="167"/>
  <c r="I114" i="167"/>
  <c r="I117" i="167"/>
  <c r="I121" i="167"/>
  <c r="I132" i="167"/>
  <c r="I133" i="167"/>
  <c r="I122" i="167"/>
  <c r="I123" i="167"/>
  <c r="I125" i="167"/>
  <c r="I147" i="167"/>
  <c r="J95" i="167"/>
  <c r="J96" i="167"/>
  <c r="J98" i="167"/>
  <c r="J99" i="167"/>
  <c r="J100" i="167"/>
  <c r="J101" i="167"/>
  <c r="J102" i="167"/>
  <c r="J103" i="167"/>
  <c r="K18" i="167"/>
  <c r="J104" i="167"/>
  <c r="J105" i="167"/>
  <c r="J106" i="167"/>
  <c r="J107" i="167"/>
  <c r="J109" i="167"/>
  <c r="J108" i="167"/>
  <c r="J110" i="167"/>
  <c r="J112" i="167"/>
  <c r="J114" i="167"/>
  <c r="J117" i="167"/>
  <c r="J121" i="167"/>
  <c r="J132" i="167"/>
  <c r="J133" i="167"/>
  <c r="J122" i="167"/>
  <c r="J123" i="167"/>
  <c r="J125" i="167"/>
  <c r="J147" i="167"/>
  <c r="K95" i="167"/>
  <c r="K96" i="167"/>
  <c r="K98" i="167"/>
  <c r="K99" i="167"/>
  <c r="K100" i="167"/>
  <c r="K101" i="167"/>
  <c r="K102" i="167"/>
  <c r="K103" i="167"/>
  <c r="L18" i="167"/>
  <c r="K104" i="167"/>
  <c r="K105" i="167"/>
  <c r="K106" i="167"/>
  <c r="K107" i="167"/>
  <c r="K109" i="167"/>
  <c r="K108" i="167"/>
  <c r="K110" i="167"/>
  <c r="K112" i="167"/>
  <c r="K114" i="167"/>
  <c r="K117" i="167"/>
  <c r="K121" i="167"/>
  <c r="K132" i="167"/>
  <c r="K133" i="167"/>
  <c r="K122" i="167"/>
  <c r="K123" i="167"/>
  <c r="K125" i="167"/>
  <c r="K147" i="167"/>
  <c r="L95" i="167"/>
  <c r="L96" i="167"/>
  <c r="L98" i="167"/>
  <c r="L99" i="167"/>
  <c r="L100" i="167"/>
  <c r="L101" i="167"/>
  <c r="L102" i="167"/>
  <c r="L103" i="167"/>
  <c r="M18" i="167"/>
  <c r="L104" i="167"/>
  <c r="L105" i="167"/>
  <c r="L106" i="167"/>
  <c r="L107" i="167"/>
  <c r="L109" i="167"/>
  <c r="L108" i="167"/>
  <c r="L110" i="167"/>
  <c r="L112" i="167"/>
  <c r="L114" i="167"/>
  <c r="L117" i="167"/>
  <c r="L121" i="167"/>
  <c r="L132" i="167"/>
  <c r="L133" i="167"/>
  <c r="L122" i="167"/>
  <c r="L123" i="167"/>
  <c r="L125" i="167"/>
  <c r="L147" i="167"/>
  <c r="M95" i="167"/>
  <c r="M96" i="167"/>
  <c r="M98" i="167"/>
  <c r="M99" i="167"/>
  <c r="M100" i="167"/>
  <c r="M101" i="167"/>
  <c r="M102" i="167"/>
  <c r="M103" i="167"/>
  <c r="N18" i="167"/>
  <c r="M104" i="167"/>
  <c r="M105" i="167"/>
  <c r="M106" i="167"/>
  <c r="M107" i="167"/>
  <c r="M109" i="167"/>
  <c r="M108" i="167"/>
  <c r="M110" i="167"/>
  <c r="M112" i="167"/>
  <c r="M114" i="167"/>
  <c r="M117" i="167"/>
  <c r="M121" i="167"/>
  <c r="M132" i="167"/>
  <c r="M133" i="167"/>
  <c r="M122" i="167"/>
  <c r="M123" i="167"/>
  <c r="M125" i="167"/>
  <c r="M147" i="167"/>
  <c r="N95" i="167"/>
  <c r="N96" i="167"/>
  <c r="N98" i="167"/>
  <c r="N99" i="167"/>
  <c r="N100" i="167"/>
  <c r="N101" i="167"/>
  <c r="N102" i="167"/>
  <c r="N103" i="167"/>
  <c r="O18" i="167"/>
  <c r="N104" i="167"/>
  <c r="N105" i="167"/>
  <c r="N106" i="167"/>
  <c r="N107" i="167"/>
  <c r="N109" i="167"/>
  <c r="N108" i="167"/>
  <c r="N110" i="167"/>
  <c r="N112" i="167"/>
  <c r="N114" i="167"/>
  <c r="N117" i="167"/>
  <c r="N121" i="167"/>
  <c r="N132" i="167"/>
  <c r="N133" i="167"/>
  <c r="N122" i="167"/>
  <c r="N123" i="167"/>
  <c r="N125" i="167"/>
  <c r="N147" i="167"/>
  <c r="O95" i="167"/>
  <c r="O96" i="167"/>
  <c r="O98" i="167"/>
  <c r="O99" i="167"/>
  <c r="O100" i="167"/>
  <c r="B34" i="167"/>
  <c r="O101" i="167"/>
  <c r="O102" i="167"/>
  <c r="O103" i="167"/>
  <c r="P18" i="167"/>
  <c r="O104" i="167"/>
  <c r="O105" i="167"/>
  <c r="O106" i="167"/>
  <c r="O107" i="167"/>
  <c r="O109" i="167"/>
  <c r="O108" i="167"/>
  <c r="O110" i="167"/>
  <c r="O112" i="167"/>
  <c r="O114" i="167"/>
  <c r="O117" i="167"/>
  <c r="O121" i="167"/>
  <c r="O132" i="167"/>
  <c r="O133" i="167"/>
  <c r="O122" i="167"/>
  <c r="O123" i="167"/>
  <c r="O125" i="167"/>
  <c r="O147" i="167"/>
  <c r="P95" i="167"/>
  <c r="P96" i="167"/>
  <c r="P98" i="167"/>
  <c r="P99" i="167"/>
  <c r="P100" i="167"/>
  <c r="P101" i="167"/>
  <c r="P102" i="167"/>
  <c r="P103" i="167"/>
  <c r="Q18" i="167"/>
  <c r="P104" i="167"/>
  <c r="P105" i="167"/>
  <c r="P106" i="167"/>
  <c r="P107" i="167"/>
  <c r="P109" i="167"/>
  <c r="P108" i="167"/>
  <c r="P110" i="167"/>
  <c r="P112" i="167"/>
  <c r="P114" i="167"/>
  <c r="P117" i="167"/>
  <c r="P121" i="167"/>
  <c r="P132" i="167"/>
  <c r="P133" i="167"/>
  <c r="P122" i="167"/>
  <c r="P123" i="167"/>
  <c r="P125" i="167"/>
  <c r="P147" i="167"/>
  <c r="Q95" i="167"/>
  <c r="Q96" i="167"/>
  <c r="Q98" i="167"/>
  <c r="Q99" i="167"/>
  <c r="Q100" i="167"/>
  <c r="Q101" i="167"/>
  <c r="Q102" i="167"/>
  <c r="Q103" i="167"/>
  <c r="R18" i="167"/>
  <c r="Q104" i="167"/>
  <c r="Q105" i="167"/>
  <c r="Q106" i="167"/>
  <c r="Q107" i="167"/>
  <c r="Q109" i="167"/>
  <c r="Q108" i="167"/>
  <c r="Q110" i="167"/>
  <c r="Q112" i="167"/>
  <c r="Q114" i="167"/>
  <c r="Q117" i="167"/>
  <c r="Q121" i="167"/>
  <c r="Q132" i="167"/>
  <c r="Q133" i="167"/>
  <c r="Q122" i="167"/>
  <c r="Q123" i="167"/>
  <c r="Q125" i="167"/>
  <c r="Q147" i="167"/>
  <c r="R95" i="167"/>
  <c r="R96" i="167"/>
  <c r="R98" i="167"/>
  <c r="R99" i="167"/>
  <c r="R100" i="167"/>
  <c r="R101" i="167"/>
  <c r="R102" i="167"/>
  <c r="R103" i="167"/>
  <c r="S18" i="167"/>
  <c r="R104" i="167"/>
  <c r="R105" i="167"/>
  <c r="R106" i="167"/>
  <c r="R107" i="167"/>
  <c r="R109" i="167"/>
  <c r="R108" i="167"/>
  <c r="R110" i="167"/>
  <c r="R112" i="167"/>
  <c r="R114" i="167"/>
  <c r="R117" i="167"/>
  <c r="R121" i="167"/>
  <c r="R132" i="167"/>
  <c r="R133" i="167"/>
  <c r="R122" i="167"/>
  <c r="R123" i="167"/>
  <c r="R125" i="167"/>
  <c r="R147" i="167"/>
  <c r="S95" i="167"/>
  <c r="S96" i="167"/>
  <c r="S98" i="167"/>
  <c r="S99" i="167"/>
  <c r="S100" i="167"/>
  <c r="S101" i="167"/>
  <c r="S102" i="167"/>
  <c r="S103" i="167"/>
  <c r="T18" i="167"/>
  <c r="S104" i="167"/>
  <c r="S105" i="167"/>
  <c r="S106" i="167"/>
  <c r="S107" i="167"/>
  <c r="S109" i="167"/>
  <c r="S108" i="167"/>
  <c r="S110" i="167"/>
  <c r="S112" i="167"/>
  <c r="S114" i="167"/>
  <c r="S117" i="167"/>
  <c r="S121" i="167"/>
  <c r="S132" i="167"/>
  <c r="S133" i="167"/>
  <c r="S122" i="167"/>
  <c r="S123" i="167"/>
  <c r="S125" i="167"/>
  <c r="S147" i="167"/>
  <c r="T95" i="167"/>
  <c r="T96" i="167"/>
  <c r="T98" i="167"/>
  <c r="T99" i="167"/>
  <c r="T100" i="167"/>
  <c r="T101" i="167"/>
  <c r="T102" i="167"/>
  <c r="T103" i="167"/>
  <c r="U18" i="167"/>
  <c r="T104" i="167"/>
  <c r="T105" i="167"/>
  <c r="T106" i="167"/>
  <c r="T107" i="167"/>
  <c r="T109" i="167"/>
  <c r="T108" i="167"/>
  <c r="T110" i="167"/>
  <c r="T112" i="167"/>
  <c r="T114" i="167"/>
  <c r="T117" i="167"/>
  <c r="T121" i="167"/>
  <c r="T132" i="167"/>
  <c r="T133" i="167"/>
  <c r="T122" i="167"/>
  <c r="T123" i="167"/>
  <c r="T125" i="167"/>
  <c r="T147" i="167"/>
  <c r="U95" i="167"/>
  <c r="U96" i="167"/>
  <c r="U98" i="167"/>
  <c r="U99" i="167"/>
  <c r="U100" i="167"/>
  <c r="U101" i="167"/>
  <c r="U102" i="167"/>
  <c r="U103" i="167"/>
  <c r="V18" i="167"/>
  <c r="U104" i="167"/>
  <c r="U105" i="167"/>
  <c r="U106" i="167"/>
  <c r="U107" i="167"/>
  <c r="U109" i="167"/>
  <c r="U108" i="167"/>
  <c r="U110" i="167"/>
  <c r="U112" i="167"/>
  <c r="U114" i="167"/>
  <c r="U117" i="167"/>
  <c r="U121" i="167"/>
  <c r="U132" i="167"/>
  <c r="U133" i="167"/>
  <c r="U122" i="167"/>
  <c r="U123" i="167"/>
  <c r="U125" i="167"/>
  <c r="U147" i="167"/>
  <c r="V95" i="167"/>
  <c r="V96" i="167"/>
  <c r="V98" i="167"/>
  <c r="V99" i="167"/>
  <c r="V100" i="167"/>
  <c r="V101" i="167"/>
  <c r="V102" i="167"/>
  <c r="V103" i="167"/>
  <c r="W18" i="167"/>
  <c r="V104" i="167"/>
  <c r="V105" i="167"/>
  <c r="V106" i="167"/>
  <c r="V107" i="167"/>
  <c r="V109" i="167"/>
  <c r="V108" i="167"/>
  <c r="V110" i="167"/>
  <c r="V112" i="167"/>
  <c r="V114" i="167"/>
  <c r="V117" i="167"/>
  <c r="V121" i="167"/>
  <c r="V132" i="167"/>
  <c r="V133" i="167"/>
  <c r="V122" i="167"/>
  <c r="V123" i="167"/>
  <c r="V125" i="167"/>
  <c r="V147" i="167"/>
  <c r="W95" i="167"/>
  <c r="W96" i="167"/>
  <c r="W98" i="167"/>
  <c r="W99" i="167"/>
  <c r="W100" i="167"/>
  <c r="W101" i="167"/>
  <c r="W102" i="167"/>
  <c r="W103" i="167"/>
  <c r="X18" i="167"/>
  <c r="W104" i="167"/>
  <c r="W105" i="167"/>
  <c r="W106" i="167"/>
  <c r="W107" i="167"/>
  <c r="W109" i="167"/>
  <c r="W108" i="167"/>
  <c r="W110" i="167"/>
  <c r="W112" i="167"/>
  <c r="W114" i="167"/>
  <c r="W117" i="167"/>
  <c r="W121" i="167"/>
  <c r="W132" i="167"/>
  <c r="W133" i="167"/>
  <c r="W122" i="167"/>
  <c r="W123" i="167"/>
  <c r="W125" i="167"/>
  <c r="W147" i="167"/>
  <c r="X95" i="167"/>
  <c r="X96" i="167"/>
  <c r="X98" i="167"/>
  <c r="X99" i="167"/>
  <c r="X100" i="167"/>
  <c r="X101" i="167"/>
  <c r="X102" i="167"/>
  <c r="X103" i="167"/>
  <c r="Y18" i="167"/>
  <c r="X104" i="167"/>
  <c r="X105" i="167"/>
  <c r="X106" i="167"/>
  <c r="X107" i="167"/>
  <c r="X109" i="167"/>
  <c r="X108" i="167"/>
  <c r="X110" i="167"/>
  <c r="X112" i="167"/>
  <c r="X114" i="167"/>
  <c r="X117" i="167"/>
  <c r="X121" i="167"/>
  <c r="X132" i="167"/>
  <c r="X133" i="167"/>
  <c r="X122" i="167"/>
  <c r="X123" i="167"/>
  <c r="X125" i="167"/>
  <c r="X147" i="167"/>
  <c r="Y95" i="167"/>
  <c r="Y96" i="167"/>
  <c r="Y98" i="167"/>
  <c r="Y99" i="167"/>
  <c r="Y100" i="167"/>
  <c r="Y101" i="167"/>
  <c r="Y102" i="167"/>
  <c r="Y103" i="167"/>
  <c r="Z18" i="167"/>
  <c r="Y104" i="167"/>
  <c r="Y105" i="167"/>
  <c r="Y106" i="167"/>
  <c r="Y107" i="167"/>
  <c r="Y109" i="167"/>
  <c r="Y108" i="167"/>
  <c r="Y110" i="167"/>
  <c r="Y112" i="167"/>
  <c r="Y114" i="167"/>
  <c r="Y117" i="167"/>
  <c r="Y121" i="167"/>
  <c r="Y132" i="167"/>
  <c r="Y133" i="167"/>
  <c r="Y122" i="167"/>
  <c r="Y123" i="167"/>
  <c r="Y125" i="167"/>
  <c r="Y147" i="167"/>
  <c r="Z95" i="167"/>
  <c r="N12" i="28"/>
  <c r="B28" i="167"/>
  <c r="Z96" i="167"/>
  <c r="Z98" i="167"/>
  <c r="Z99" i="167"/>
  <c r="Z100" i="167"/>
  <c r="Z101" i="167"/>
  <c r="Z102" i="167"/>
  <c r="Z103" i="167"/>
  <c r="AA18" i="167"/>
  <c r="Z104" i="167"/>
  <c r="Z105" i="167"/>
  <c r="Z106" i="167"/>
  <c r="Z107" i="167"/>
  <c r="Z109" i="167"/>
  <c r="Z108" i="167"/>
  <c r="Z110" i="167"/>
  <c r="Z112" i="167"/>
  <c r="Z114" i="167"/>
  <c r="Z117" i="167"/>
  <c r="Z121" i="167"/>
  <c r="Z132" i="167"/>
  <c r="Z133" i="167"/>
  <c r="Z122" i="167"/>
  <c r="Z123" i="167"/>
  <c r="Z125" i="167"/>
  <c r="Z147" i="167"/>
  <c r="AA95" i="167"/>
  <c r="AA96" i="167"/>
  <c r="AA98" i="167"/>
  <c r="AA99" i="167"/>
  <c r="AA100" i="167"/>
  <c r="AA101" i="167"/>
  <c r="AA102" i="167"/>
  <c r="AA103" i="167"/>
  <c r="AB18" i="167"/>
  <c r="AA104" i="167"/>
  <c r="AA105" i="167"/>
  <c r="AA106" i="167"/>
  <c r="AA107" i="167"/>
  <c r="AA109" i="167"/>
  <c r="AA108" i="167"/>
  <c r="AA110" i="167"/>
  <c r="AA112" i="167"/>
  <c r="AA114" i="167"/>
  <c r="AA117" i="167"/>
  <c r="AA121" i="167"/>
  <c r="AA132" i="167"/>
  <c r="AA133" i="167"/>
  <c r="AA122" i="167"/>
  <c r="AA123" i="167"/>
  <c r="AA125" i="167"/>
  <c r="AA147" i="167"/>
  <c r="AB95" i="167"/>
  <c r="AB96" i="167"/>
  <c r="AB98" i="167"/>
  <c r="AB99" i="167"/>
  <c r="AB100" i="167"/>
  <c r="AB101" i="167"/>
  <c r="AB102" i="167"/>
  <c r="AB103" i="167"/>
  <c r="AC18" i="167"/>
  <c r="AB104" i="167"/>
  <c r="AB105" i="167"/>
  <c r="AB106" i="167"/>
  <c r="AB107" i="167"/>
  <c r="AB109" i="167"/>
  <c r="AB108" i="167"/>
  <c r="AB110" i="167"/>
  <c r="AB112" i="167"/>
  <c r="AB114" i="167"/>
  <c r="AB117" i="167"/>
  <c r="AB121" i="167"/>
  <c r="AB132" i="167"/>
  <c r="AB133" i="167"/>
  <c r="AB122" i="167"/>
  <c r="AB123" i="167"/>
  <c r="AB125" i="167"/>
  <c r="AB147" i="167"/>
  <c r="AC95" i="167"/>
  <c r="AC96" i="167"/>
  <c r="AC98" i="167"/>
  <c r="AC99" i="167"/>
  <c r="AC100" i="167"/>
  <c r="AC101" i="167"/>
  <c r="AC102" i="167"/>
  <c r="AC103" i="167"/>
  <c r="AD18" i="167"/>
  <c r="AC104" i="167"/>
  <c r="AC105" i="167"/>
  <c r="AC106" i="167"/>
  <c r="AC107" i="167"/>
  <c r="AC109" i="167"/>
  <c r="AC108" i="167"/>
  <c r="AC110" i="167"/>
  <c r="AC112" i="167"/>
  <c r="AC114" i="167"/>
  <c r="AC117" i="167"/>
  <c r="AC121" i="167"/>
  <c r="AC132" i="167"/>
  <c r="AC133" i="167"/>
  <c r="AC122" i="167"/>
  <c r="AC123" i="167"/>
  <c r="AC125" i="167"/>
  <c r="AC147" i="167"/>
  <c r="AD95" i="167"/>
  <c r="AD96" i="167"/>
  <c r="AD98" i="167"/>
  <c r="AD99" i="167"/>
  <c r="AD100" i="167"/>
  <c r="AD101" i="167"/>
  <c r="AD102" i="167"/>
  <c r="AD103" i="167"/>
  <c r="AE18" i="167"/>
  <c r="AD104" i="167"/>
  <c r="AD105" i="167"/>
  <c r="AD106" i="167"/>
  <c r="AD107" i="167"/>
  <c r="AD109" i="167"/>
  <c r="AD108" i="167"/>
  <c r="AD110" i="167"/>
  <c r="AD112" i="167"/>
  <c r="AD114" i="167"/>
  <c r="AD117" i="167"/>
  <c r="AD121" i="167"/>
  <c r="AD132" i="167"/>
  <c r="AD133" i="167"/>
  <c r="AD122" i="167"/>
  <c r="AD123" i="167"/>
  <c r="AD125" i="167"/>
  <c r="AD147" i="167"/>
  <c r="AE95" i="167"/>
  <c r="AE96" i="167"/>
  <c r="AE98" i="167"/>
  <c r="AE99" i="167"/>
  <c r="AE100" i="167"/>
  <c r="AE101" i="167"/>
  <c r="AE102" i="167"/>
  <c r="AE103" i="167"/>
  <c r="AF18" i="167"/>
  <c r="AE104" i="167"/>
  <c r="AE105" i="167"/>
  <c r="AE106" i="167"/>
  <c r="AE107" i="167"/>
  <c r="AE109" i="167"/>
  <c r="AE108" i="167"/>
  <c r="AE110" i="167"/>
  <c r="AE112" i="167"/>
  <c r="AE114" i="167"/>
  <c r="AE117" i="167"/>
  <c r="AE121" i="167"/>
  <c r="AE132" i="167"/>
  <c r="AE133" i="167"/>
  <c r="AE122" i="167"/>
  <c r="AE123" i="167"/>
  <c r="AE125" i="167"/>
  <c r="AE147" i="167"/>
  <c r="AF95" i="167"/>
  <c r="AF96" i="167"/>
  <c r="AF98" i="167"/>
  <c r="AF99" i="167"/>
  <c r="AF100" i="167"/>
  <c r="AF101" i="167"/>
  <c r="AF102" i="167"/>
  <c r="AF103" i="167"/>
  <c r="AG18" i="167"/>
  <c r="AF104" i="167"/>
  <c r="AF105" i="167"/>
  <c r="AF106" i="167"/>
  <c r="AF107" i="167"/>
  <c r="AF109" i="167"/>
  <c r="AF108" i="167"/>
  <c r="AF110" i="167"/>
  <c r="AF112" i="167"/>
  <c r="AF114" i="167"/>
  <c r="AF117" i="167"/>
  <c r="AF121" i="167"/>
  <c r="AF132" i="167"/>
  <c r="AF133" i="167"/>
  <c r="AF122" i="167"/>
  <c r="AF123" i="167"/>
  <c r="AF125" i="167"/>
  <c r="AF147" i="167"/>
  <c r="AG95" i="167"/>
  <c r="AG96" i="167"/>
  <c r="AG98" i="167"/>
  <c r="AG99" i="167"/>
  <c r="AG100" i="167"/>
  <c r="AG101" i="167"/>
  <c r="AG102" i="167"/>
  <c r="AG103" i="167"/>
  <c r="AH18" i="167"/>
  <c r="AG104" i="167"/>
  <c r="AG105" i="167"/>
  <c r="AG106" i="167"/>
  <c r="AG107" i="167"/>
  <c r="AG109" i="167"/>
  <c r="AG108" i="167"/>
  <c r="AG110" i="167"/>
  <c r="AG112" i="167"/>
  <c r="AG114" i="167"/>
  <c r="AG117" i="167"/>
  <c r="AG121" i="167"/>
  <c r="AG132" i="167"/>
  <c r="AG133" i="167"/>
  <c r="AG122" i="167"/>
  <c r="AG123" i="167"/>
  <c r="AG125" i="167"/>
  <c r="AG147" i="167"/>
  <c r="AH95" i="167"/>
  <c r="AH96" i="167"/>
  <c r="AH98" i="167"/>
  <c r="AH99" i="167"/>
  <c r="AH100" i="167"/>
  <c r="AH101" i="167"/>
  <c r="AH102" i="167"/>
  <c r="AH103" i="167"/>
  <c r="AI18" i="167"/>
  <c r="AH104" i="167"/>
  <c r="AH105" i="167"/>
  <c r="AH106" i="167"/>
  <c r="AH107" i="167"/>
  <c r="AH109" i="167"/>
  <c r="AH108" i="167"/>
  <c r="AH110" i="167"/>
  <c r="AH112" i="167"/>
  <c r="AH114" i="167"/>
  <c r="AH117" i="167"/>
  <c r="AH121" i="167"/>
  <c r="AH132" i="167"/>
  <c r="AH133" i="167"/>
  <c r="AH122" i="167"/>
  <c r="AH123" i="167"/>
  <c r="AH125" i="167"/>
  <c r="AH147" i="167"/>
  <c r="AI95" i="167"/>
  <c r="AI96" i="167"/>
  <c r="AI98" i="167"/>
  <c r="AI99" i="167"/>
  <c r="AI100" i="167"/>
  <c r="AI101" i="167"/>
  <c r="AI102" i="167"/>
  <c r="AI103" i="167"/>
  <c r="AJ18" i="167"/>
  <c r="AI104" i="167"/>
  <c r="AI105" i="167"/>
  <c r="AI106" i="167"/>
  <c r="AI107" i="167"/>
  <c r="AI109" i="167"/>
  <c r="AI108" i="167"/>
  <c r="AI110" i="167"/>
  <c r="AI112" i="167"/>
  <c r="AI114" i="167"/>
  <c r="AI117" i="167"/>
  <c r="AI121" i="167"/>
  <c r="AI132" i="167"/>
  <c r="AI133" i="167"/>
  <c r="AI122" i="167"/>
  <c r="AI123" i="167"/>
  <c r="AI125" i="167"/>
  <c r="AI147" i="167"/>
  <c r="E147" i="167"/>
  <c r="C147" i="167"/>
  <c r="C57" i="169"/>
  <c r="D57" i="169"/>
  <c r="H6" i="172"/>
  <c r="B146" i="167"/>
  <c r="E55" i="167"/>
  <c r="E58" i="167"/>
  <c r="E59" i="167"/>
  <c r="E61" i="167"/>
  <c r="E63" i="167"/>
  <c r="E65" i="167"/>
  <c r="E64" i="167"/>
  <c r="E66" i="167"/>
  <c r="E68" i="167"/>
  <c r="E70" i="167"/>
  <c r="E71" i="167"/>
  <c r="E72" i="167"/>
  <c r="E73" i="167"/>
  <c r="E75" i="167"/>
  <c r="E77" i="167"/>
  <c r="E79" i="167"/>
  <c r="E146" i="167"/>
  <c r="F51" i="167"/>
  <c r="F52" i="167"/>
  <c r="F54" i="167"/>
  <c r="F55" i="167"/>
  <c r="F56" i="167"/>
  <c r="F57" i="167"/>
  <c r="F58" i="167"/>
  <c r="F59" i="167"/>
  <c r="F60" i="167"/>
  <c r="F61" i="167"/>
  <c r="F62" i="167"/>
  <c r="F63" i="167"/>
  <c r="F65" i="167"/>
  <c r="F64" i="167"/>
  <c r="F66" i="167"/>
  <c r="F68" i="167"/>
  <c r="F70" i="167"/>
  <c r="F73" i="167"/>
  <c r="F76" i="167"/>
  <c r="F77" i="167"/>
  <c r="F79" i="167"/>
  <c r="F146" i="167"/>
  <c r="G51" i="167"/>
  <c r="G52" i="167"/>
  <c r="G54" i="167"/>
  <c r="G55" i="167"/>
  <c r="G56" i="167"/>
  <c r="G57" i="167"/>
  <c r="G58" i="167"/>
  <c r="G59" i="167"/>
  <c r="G60" i="167"/>
  <c r="G61" i="167"/>
  <c r="G62" i="167"/>
  <c r="G63" i="167"/>
  <c r="G65" i="167"/>
  <c r="G64" i="167"/>
  <c r="G66" i="167"/>
  <c r="G68" i="167"/>
  <c r="G70" i="167"/>
  <c r="G73" i="167"/>
  <c r="G76" i="167"/>
  <c r="G77" i="167"/>
  <c r="G79" i="167"/>
  <c r="G146" i="167"/>
  <c r="H51" i="167"/>
  <c r="H52" i="167"/>
  <c r="H54" i="167"/>
  <c r="H55" i="167"/>
  <c r="H56" i="167"/>
  <c r="H57" i="167"/>
  <c r="H58" i="167"/>
  <c r="H59" i="167"/>
  <c r="H60" i="167"/>
  <c r="H61" i="167"/>
  <c r="H62" i="167"/>
  <c r="H63" i="167"/>
  <c r="H65" i="167"/>
  <c r="H64" i="167"/>
  <c r="H66" i="167"/>
  <c r="H68" i="167"/>
  <c r="H70" i="167"/>
  <c r="H73" i="167"/>
  <c r="H76" i="167"/>
  <c r="H77" i="167"/>
  <c r="H79" i="167"/>
  <c r="H146" i="167"/>
  <c r="I51" i="167"/>
  <c r="I52" i="167"/>
  <c r="I54" i="167"/>
  <c r="I55" i="167"/>
  <c r="I56" i="167"/>
  <c r="I57" i="167"/>
  <c r="I58" i="167"/>
  <c r="I59" i="167"/>
  <c r="I60" i="167"/>
  <c r="I61" i="167"/>
  <c r="I62" i="167"/>
  <c r="I63" i="167"/>
  <c r="I65" i="167"/>
  <c r="I64" i="167"/>
  <c r="I66" i="167"/>
  <c r="I68" i="167"/>
  <c r="I70" i="167"/>
  <c r="I73" i="167"/>
  <c r="I76" i="167"/>
  <c r="I77" i="167"/>
  <c r="I79" i="167"/>
  <c r="I146" i="167"/>
  <c r="J51" i="167"/>
  <c r="J52" i="167"/>
  <c r="J54" i="167"/>
  <c r="J55" i="167"/>
  <c r="J56" i="167"/>
  <c r="J57" i="167"/>
  <c r="J58" i="167"/>
  <c r="J59" i="167"/>
  <c r="J60" i="167"/>
  <c r="J61" i="167"/>
  <c r="J62" i="167"/>
  <c r="J63" i="167"/>
  <c r="J65" i="167"/>
  <c r="J64" i="167"/>
  <c r="J66" i="167"/>
  <c r="J68" i="167"/>
  <c r="J70" i="167"/>
  <c r="J73" i="167"/>
  <c r="J76" i="167"/>
  <c r="J77" i="167"/>
  <c r="J79" i="167"/>
  <c r="J146" i="167"/>
  <c r="K51" i="167"/>
  <c r="K52" i="167"/>
  <c r="K54" i="167"/>
  <c r="K55" i="167"/>
  <c r="K56" i="167"/>
  <c r="K57" i="167"/>
  <c r="K58" i="167"/>
  <c r="K59" i="167"/>
  <c r="K60" i="167"/>
  <c r="K61" i="167"/>
  <c r="K62" i="167"/>
  <c r="K63" i="167"/>
  <c r="K65" i="167"/>
  <c r="K64" i="167"/>
  <c r="K66" i="167"/>
  <c r="K68" i="167"/>
  <c r="K70" i="167"/>
  <c r="K73" i="167"/>
  <c r="K76" i="167"/>
  <c r="K77" i="167"/>
  <c r="K79" i="167"/>
  <c r="K146" i="167"/>
  <c r="L51" i="167"/>
  <c r="L52" i="167"/>
  <c r="L54" i="167"/>
  <c r="L55" i="167"/>
  <c r="L56" i="167"/>
  <c r="L57" i="167"/>
  <c r="L58" i="167"/>
  <c r="L59" i="167"/>
  <c r="L60" i="167"/>
  <c r="L61" i="167"/>
  <c r="L62" i="167"/>
  <c r="L63" i="167"/>
  <c r="L65" i="167"/>
  <c r="L64" i="167"/>
  <c r="L66" i="167"/>
  <c r="L68" i="167"/>
  <c r="L70" i="167"/>
  <c r="L73" i="167"/>
  <c r="L76" i="167"/>
  <c r="L77" i="167"/>
  <c r="L79" i="167"/>
  <c r="L146" i="167"/>
  <c r="M51" i="167"/>
  <c r="M52" i="167"/>
  <c r="M54" i="167"/>
  <c r="M55" i="167"/>
  <c r="M56" i="167"/>
  <c r="M57" i="167"/>
  <c r="M58" i="167"/>
  <c r="M59" i="167"/>
  <c r="M60" i="167"/>
  <c r="M61" i="167"/>
  <c r="M62" i="167"/>
  <c r="M63" i="167"/>
  <c r="M65" i="167"/>
  <c r="M64" i="167"/>
  <c r="M66" i="167"/>
  <c r="M68" i="167"/>
  <c r="M70" i="167"/>
  <c r="M73" i="167"/>
  <c r="M76" i="167"/>
  <c r="M77" i="167"/>
  <c r="M79" i="167"/>
  <c r="M146" i="167"/>
  <c r="N51" i="167"/>
  <c r="N52" i="167"/>
  <c r="N54" i="167"/>
  <c r="N55" i="167"/>
  <c r="N56" i="167"/>
  <c r="N57" i="167"/>
  <c r="N58" i="167"/>
  <c r="N59" i="167"/>
  <c r="N60" i="167"/>
  <c r="N61" i="167"/>
  <c r="N62" i="167"/>
  <c r="N63" i="167"/>
  <c r="N65" i="167"/>
  <c r="N64" i="167"/>
  <c r="N66" i="167"/>
  <c r="N68" i="167"/>
  <c r="N70" i="167"/>
  <c r="N73" i="167"/>
  <c r="N76" i="167"/>
  <c r="N77" i="167"/>
  <c r="N79" i="167"/>
  <c r="N146" i="167"/>
  <c r="O51" i="167"/>
  <c r="O52" i="167"/>
  <c r="O54" i="167"/>
  <c r="O55" i="167"/>
  <c r="O56" i="167"/>
  <c r="O57" i="167"/>
  <c r="O58" i="167"/>
  <c r="O59" i="167"/>
  <c r="O60" i="167"/>
  <c r="O61" i="167"/>
  <c r="O62" i="167"/>
  <c r="O63" i="167"/>
  <c r="O65" i="167"/>
  <c r="O64" i="167"/>
  <c r="O66" i="167"/>
  <c r="O68" i="167"/>
  <c r="O70" i="167"/>
  <c r="O73" i="167"/>
  <c r="O76" i="167"/>
  <c r="O77" i="167"/>
  <c r="O79" i="167"/>
  <c r="O146" i="167"/>
  <c r="P51" i="167"/>
  <c r="P52" i="167"/>
  <c r="P54" i="167"/>
  <c r="P55" i="167"/>
  <c r="P56" i="167"/>
  <c r="P57" i="167"/>
  <c r="P58" i="167"/>
  <c r="P59" i="167"/>
  <c r="P60" i="167"/>
  <c r="P61" i="167"/>
  <c r="P62" i="167"/>
  <c r="P63" i="167"/>
  <c r="P65" i="167"/>
  <c r="P64" i="167"/>
  <c r="P66" i="167"/>
  <c r="P68" i="167"/>
  <c r="P70" i="167"/>
  <c r="P73" i="167"/>
  <c r="P76" i="167"/>
  <c r="P77" i="167"/>
  <c r="P79" i="167"/>
  <c r="P146" i="167"/>
  <c r="Q51" i="167"/>
  <c r="Q52" i="167"/>
  <c r="Q54" i="167"/>
  <c r="Q55" i="167"/>
  <c r="Q56" i="167"/>
  <c r="Q57" i="167"/>
  <c r="Q58" i="167"/>
  <c r="Q59" i="167"/>
  <c r="Q60" i="167"/>
  <c r="Q61" i="167"/>
  <c r="Q62" i="167"/>
  <c r="Q63" i="167"/>
  <c r="Q65" i="167"/>
  <c r="Q64" i="167"/>
  <c r="Q66" i="167"/>
  <c r="Q68" i="167"/>
  <c r="Q70" i="167"/>
  <c r="Q73" i="167"/>
  <c r="Q76" i="167"/>
  <c r="Q77" i="167"/>
  <c r="Q79" i="167"/>
  <c r="Q146" i="167"/>
  <c r="R51" i="167"/>
  <c r="R52" i="167"/>
  <c r="R54" i="167"/>
  <c r="R55" i="167"/>
  <c r="R56" i="167"/>
  <c r="R57" i="167"/>
  <c r="R58" i="167"/>
  <c r="R59" i="167"/>
  <c r="R60" i="167"/>
  <c r="R61" i="167"/>
  <c r="R62" i="167"/>
  <c r="R63" i="167"/>
  <c r="R65" i="167"/>
  <c r="R64" i="167"/>
  <c r="R66" i="167"/>
  <c r="R68" i="167"/>
  <c r="R70" i="167"/>
  <c r="R73" i="167"/>
  <c r="R76" i="167"/>
  <c r="R77" i="167"/>
  <c r="R79" i="167"/>
  <c r="R146" i="167"/>
  <c r="S51" i="167"/>
  <c r="S52" i="167"/>
  <c r="S54" i="167"/>
  <c r="S55" i="167"/>
  <c r="S56" i="167"/>
  <c r="S57" i="167"/>
  <c r="S58" i="167"/>
  <c r="S59" i="167"/>
  <c r="S60" i="167"/>
  <c r="S61" i="167"/>
  <c r="S62" i="167"/>
  <c r="S63" i="167"/>
  <c r="S65" i="167"/>
  <c r="S64" i="167"/>
  <c r="S66" i="167"/>
  <c r="S68" i="167"/>
  <c r="S70" i="167"/>
  <c r="S73" i="167"/>
  <c r="S76" i="167"/>
  <c r="S77" i="167"/>
  <c r="S79" i="167"/>
  <c r="S146" i="167"/>
  <c r="T51" i="167"/>
  <c r="T52" i="167"/>
  <c r="T54" i="167"/>
  <c r="T55" i="167"/>
  <c r="T56" i="167"/>
  <c r="T57" i="167"/>
  <c r="T58" i="167"/>
  <c r="T59" i="167"/>
  <c r="T60" i="167"/>
  <c r="T61" i="167"/>
  <c r="T62" i="167"/>
  <c r="T63" i="167"/>
  <c r="T65" i="167"/>
  <c r="T64" i="167"/>
  <c r="T66" i="167"/>
  <c r="T68" i="167"/>
  <c r="T70" i="167"/>
  <c r="T73" i="167"/>
  <c r="T86" i="167"/>
  <c r="T87" i="167"/>
  <c r="T76" i="167"/>
  <c r="T77" i="167"/>
  <c r="T79" i="167"/>
  <c r="T146" i="167"/>
  <c r="U51" i="167"/>
  <c r="U52" i="167"/>
  <c r="U54" i="167"/>
  <c r="U55" i="167"/>
  <c r="U56" i="167"/>
  <c r="U57" i="167"/>
  <c r="U58" i="167"/>
  <c r="U59" i="167"/>
  <c r="U60" i="167"/>
  <c r="U61" i="167"/>
  <c r="U62" i="167"/>
  <c r="U63" i="167"/>
  <c r="U65" i="167"/>
  <c r="U64" i="167"/>
  <c r="U66" i="167"/>
  <c r="U68" i="167"/>
  <c r="U70" i="167"/>
  <c r="U73" i="167"/>
  <c r="U86" i="167"/>
  <c r="U87" i="167"/>
  <c r="U76" i="167"/>
  <c r="U77" i="167"/>
  <c r="U79" i="167"/>
  <c r="U146" i="167"/>
  <c r="V51" i="167"/>
  <c r="V52" i="167"/>
  <c r="V54" i="167"/>
  <c r="V55" i="167"/>
  <c r="V56" i="167"/>
  <c r="V57" i="167"/>
  <c r="V58" i="167"/>
  <c r="V59" i="167"/>
  <c r="V60" i="167"/>
  <c r="V61" i="167"/>
  <c r="V62" i="167"/>
  <c r="V63" i="167"/>
  <c r="V65" i="167"/>
  <c r="V64" i="167"/>
  <c r="V66" i="167"/>
  <c r="V68" i="167"/>
  <c r="V70" i="167"/>
  <c r="V73" i="167"/>
  <c r="V86" i="167"/>
  <c r="V87" i="167"/>
  <c r="V76" i="167"/>
  <c r="V77" i="167"/>
  <c r="V79" i="167"/>
  <c r="V146" i="167"/>
  <c r="W51" i="167"/>
  <c r="W52" i="167"/>
  <c r="W54" i="167"/>
  <c r="W55" i="167"/>
  <c r="W56" i="167"/>
  <c r="W57" i="167"/>
  <c r="W58" i="167"/>
  <c r="W59" i="167"/>
  <c r="W60" i="167"/>
  <c r="W61" i="167"/>
  <c r="W62" i="167"/>
  <c r="W63" i="167"/>
  <c r="W65" i="167"/>
  <c r="W64" i="167"/>
  <c r="W66" i="167"/>
  <c r="W68" i="167"/>
  <c r="W70" i="167"/>
  <c r="W73" i="167"/>
  <c r="W86" i="167"/>
  <c r="W87" i="167"/>
  <c r="W76" i="167"/>
  <c r="W77" i="167"/>
  <c r="W79" i="167"/>
  <c r="W146" i="167"/>
  <c r="X51" i="167"/>
  <c r="X52" i="167"/>
  <c r="X54" i="167"/>
  <c r="X55" i="167"/>
  <c r="X56" i="167"/>
  <c r="X57" i="167"/>
  <c r="X58" i="167"/>
  <c r="X59" i="167"/>
  <c r="X60" i="167"/>
  <c r="X61" i="167"/>
  <c r="X62" i="167"/>
  <c r="X63" i="167"/>
  <c r="X65" i="167"/>
  <c r="X64" i="167"/>
  <c r="X66" i="167"/>
  <c r="X68" i="167"/>
  <c r="X70" i="167"/>
  <c r="X73" i="167"/>
  <c r="X86" i="167"/>
  <c r="X87" i="167"/>
  <c r="X76" i="167"/>
  <c r="X77" i="167"/>
  <c r="X79" i="167"/>
  <c r="X146" i="167"/>
  <c r="Y51" i="167"/>
  <c r="Y52" i="167"/>
  <c r="Y54" i="167"/>
  <c r="Y55" i="167"/>
  <c r="Y56" i="167"/>
  <c r="Y57" i="167"/>
  <c r="Y58" i="167"/>
  <c r="Y59" i="167"/>
  <c r="Y60" i="167"/>
  <c r="Y61" i="167"/>
  <c r="Y62" i="167"/>
  <c r="Y63" i="167"/>
  <c r="Y65" i="167"/>
  <c r="Y64" i="167"/>
  <c r="Y66" i="167"/>
  <c r="Y68" i="167"/>
  <c r="Y70" i="167"/>
  <c r="Y73" i="167"/>
  <c r="Y86" i="167"/>
  <c r="Y87" i="167"/>
  <c r="Y76" i="167"/>
  <c r="Y77" i="167"/>
  <c r="Y79" i="167"/>
  <c r="Y146" i="167"/>
  <c r="Z51" i="167"/>
  <c r="Z52" i="167"/>
  <c r="Z54" i="167"/>
  <c r="Z55" i="167"/>
  <c r="Z56" i="167"/>
  <c r="Z57" i="167"/>
  <c r="Z58" i="167"/>
  <c r="Z59" i="167"/>
  <c r="Z60" i="167"/>
  <c r="Z61" i="167"/>
  <c r="Z62" i="167"/>
  <c r="Z63" i="167"/>
  <c r="Z65" i="167"/>
  <c r="Z64" i="167"/>
  <c r="Z66" i="167"/>
  <c r="Z68" i="167"/>
  <c r="Z70" i="167"/>
  <c r="Z73" i="167"/>
  <c r="Z86" i="167"/>
  <c r="Z87" i="167"/>
  <c r="Z76" i="167"/>
  <c r="Z77" i="167"/>
  <c r="Z79" i="167"/>
  <c r="Z146" i="167"/>
  <c r="AA51" i="167"/>
  <c r="AA52" i="167"/>
  <c r="AA54" i="167"/>
  <c r="AA55" i="167"/>
  <c r="AA56" i="167"/>
  <c r="AA57" i="167"/>
  <c r="AA58" i="167"/>
  <c r="AA59" i="167"/>
  <c r="AA60" i="167"/>
  <c r="AA61" i="167"/>
  <c r="AA62" i="167"/>
  <c r="AA63" i="167"/>
  <c r="AA65" i="167"/>
  <c r="AA64" i="167"/>
  <c r="AA66" i="167"/>
  <c r="AA68" i="167"/>
  <c r="AA70" i="167"/>
  <c r="AA73" i="167"/>
  <c r="AA86" i="167"/>
  <c r="AA87" i="167"/>
  <c r="AA76" i="167"/>
  <c r="AA77" i="167"/>
  <c r="AA79" i="167"/>
  <c r="AA146" i="167"/>
  <c r="AB51" i="167"/>
  <c r="AB52" i="167"/>
  <c r="AB54" i="167"/>
  <c r="AB55" i="167"/>
  <c r="AB56" i="167"/>
  <c r="AB57" i="167"/>
  <c r="AB58" i="167"/>
  <c r="AB59" i="167"/>
  <c r="AB60" i="167"/>
  <c r="AB61" i="167"/>
  <c r="AB62" i="167"/>
  <c r="AB63" i="167"/>
  <c r="AB65" i="167"/>
  <c r="AB64" i="167"/>
  <c r="AB66" i="167"/>
  <c r="AB68" i="167"/>
  <c r="AB70" i="167"/>
  <c r="AB73" i="167"/>
  <c r="AB86" i="167"/>
  <c r="AB87" i="167"/>
  <c r="AB76" i="167"/>
  <c r="AB77" i="167"/>
  <c r="AB79" i="167"/>
  <c r="AB146" i="167"/>
  <c r="AC51" i="167"/>
  <c r="AC52" i="167"/>
  <c r="AC54" i="167"/>
  <c r="AC55" i="167"/>
  <c r="AC56" i="167"/>
  <c r="AC57" i="167"/>
  <c r="AC58" i="167"/>
  <c r="AC59" i="167"/>
  <c r="AC60" i="167"/>
  <c r="AC61" i="167"/>
  <c r="AC62" i="167"/>
  <c r="AC63" i="167"/>
  <c r="AC65" i="167"/>
  <c r="AC64" i="167"/>
  <c r="AC66" i="167"/>
  <c r="AC68" i="167"/>
  <c r="AC70" i="167"/>
  <c r="AC73" i="167"/>
  <c r="AC86" i="167"/>
  <c r="AC87" i="167"/>
  <c r="AC76" i="167"/>
  <c r="AC77" i="167"/>
  <c r="AC79" i="167"/>
  <c r="AC146" i="167"/>
  <c r="AD51" i="167"/>
  <c r="AD52" i="167"/>
  <c r="AD54" i="167"/>
  <c r="AD55" i="167"/>
  <c r="AD56" i="167"/>
  <c r="AD57" i="167"/>
  <c r="AD58" i="167"/>
  <c r="AD59" i="167"/>
  <c r="AD60" i="167"/>
  <c r="AD61" i="167"/>
  <c r="AD62" i="167"/>
  <c r="AD63" i="167"/>
  <c r="AD65" i="167"/>
  <c r="AD64" i="167"/>
  <c r="AD66" i="167"/>
  <c r="AD68" i="167"/>
  <c r="AD70" i="167"/>
  <c r="AD73" i="167"/>
  <c r="AD86" i="167"/>
  <c r="AD87" i="167"/>
  <c r="AD76" i="167"/>
  <c r="AD77" i="167"/>
  <c r="AD79" i="167"/>
  <c r="AD146" i="167"/>
  <c r="AE51" i="167"/>
  <c r="AE52" i="167"/>
  <c r="AE54" i="167"/>
  <c r="AE55" i="167"/>
  <c r="AE56" i="167"/>
  <c r="AE57" i="167"/>
  <c r="AE58" i="167"/>
  <c r="AE59" i="167"/>
  <c r="AE60" i="167"/>
  <c r="AE61" i="167"/>
  <c r="AE62" i="167"/>
  <c r="AE63" i="167"/>
  <c r="AE65" i="167"/>
  <c r="AE64" i="167"/>
  <c r="AE66" i="167"/>
  <c r="AE68" i="167"/>
  <c r="AE70" i="167"/>
  <c r="AE73" i="167"/>
  <c r="AE86" i="167"/>
  <c r="AE87" i="167"/>
  <c r="AE76" i="167"/>
  <c r="AE77" i="167"/>
  <c r="AE79" i="167"/>
  <c r="AE146" i="167"/>
  <c r="AF51" i="167"/>
  <c r="AF52" i="167"/>
  <c r="AF54" i="167"/>
  <c r="AF55" i="167"/>
  <c r="AF56" i="167"/>
  <c r="AF57" i="167"/>
  <c r="AF58" i="167"/>
  <c r="AF59" i="167"/>
  <c r="AF60" i="167"/>
  <c r="AF61" i="167"/>
  <c r="AF62" i="167"/>
  <c r="AF63" i="167"/>
  <c r="AF65" i="167"/>
  <c r="AF64" i="167"/>
  <c r="AF66" i="167"/>
  <c r="AF68" i="167"/>
  <c r="AF70" i="167"/>
  <c r="AF73" i="167"/>
  <c r="AF86" i="167"/>
  <c r="AF87" i="167"/>
  <c r="AF76" i="167"/>
  <c r="AF77" i="167"/>
  <c r="AF79" i="167"/>
  <c r="AF146" i="167"/>
  <c r="AG51" i="167"/>
  <c r="AG52" i="167"/>
  <c r="AG54" i="167"/>
  <c r="AG55" i="167"/>
  <c r="AG56" i="167"/>
  <c r="AG57" i="167"/>
  <c r="AG58" i="167"/>
  <c r="AG59" i="167"/>
  <c r="AG60" i="167"/>
  <c r="AG61" i="167"/>
  <c r="AG62" i="167"/>
  <c r="AG63" i="167"/>
  <c r="AG65" i="167"/>
  <c r="AG64" i="167"/>
  <c r="AG66" i="167"/>
  <c r="AG68" i="167"/>
  <c r="AG70" i="167"/>
  <c r="AG73" i="167"/>
  <c r="AG86" i="167"/>
  <c r="AG87" i="167"/>
  <c r="AG76" i="167"/>
  <c r="AG77" i="167"/>
  <c r="AG79" i="167"/>
  <c r="AG146" i="167"/>
  <c r="AH51" i="167"/>
  <c r="AH52" i="167"/>
  <c r="AH54" i="167"/>
  <c r="AH55" i="167"/>
  <c r="AH56" i="167"/>
  <c r="AH57" i="167"/>
  <c r="AH58" i="167"/>
  <c r="AH59" i="167"/>
  <c r="AH60" i="167"/>
  <c r="AH61" i="167"/>
  <c r="AH62" i="167"/>
  <c r="AH63" i="167"/>
  <c r="AH65" i="167"/>
  <c r="AH64" i="167"/>
  <c r="AH66" i="167"/>
  <c r="AH68" i="167"/>
  <c r="AH70" i="167"/>
  <c r="AH73" i="167"/>
  <c r="AH86" i="167"/>
  <c r="AH87" i="167"/>
  <c r="AH76" i="167"/>
  <c r="AH77" i="167"/>
  <c r="AH79" i="167"/>
  <c r="AH146" i="167"/>
  <c r="AI51" i="167"/>
  <c r="AI52" i="167"/>
  <c r="AI54" i="167"/>
  <c r="AI55" i="167"/>
  <c r="AI56" i="167"/>
  <c r="AI57" i="167"/>
  <c r="AI58" i="167"/>
  <c r="AI59" i="167"/>
  <c r="AI60" i="167"/>
  <c r="AI61" i="167"/>
  <c r="AI62" i="167"/>
  <c r="AI63" i="167"/>
  <c r="AI65" i="167"/>
  <c r="AI64" i="167"/>
  <c r="AI66" i="167"/>
  <c r="AI68" i="167"/>
  <c r="AI70" i="167"/>
  <c r="AI73" i="167"/>
  <c r="AI86" i="167"/>
  <c r="AI87" i="167"/>
  <c r="AI76" i="167"/>
  <c r="AI77" i="167"/>
  <c r="AI79" i="167"/>
  <c r="AI146" i="167"/>
  <c r="C146" i="167"/>
  <c r="C56" i="169"/>
  <c r="B56" i="169"/>
  <c r="E56" i="169"/>
  <c r="F56" i="169"/>
  <c r="G56" i="169"/>
  <c r="H56" i="169"/>
  <c r="I56" i="169"/>
  <c r="J56" i="169"/>
  <c r="K56" i="169"/>
  <c r="L56" i="169"/>
  <c r="M56" i="169"/>
  <c r="N56" i="169"/>
  <c r="O56" i="169"/>
  <c r="P56" i="169"/>
  <c r="Q56" i="169"/>
  <c r="R56" i="169"/>
  <c r="S56" i="169"/>
  <c r="T56" i="169"/>
  <c r="U56" i="169"/>
  <c r="V56" i="169"/>
  <c r="W56" i="169"/>
  <c r="X56" i="169"/>
  <c r="Y56" i="169"/>
  <c r="Z56" i="169"/>
  <c r="AA56" i="169"/>
  <c r="AB56" i="169"/>
  <c r="AC56" i="169"/>
  <c r="AD56" i="169"/>
  <c r="AE56" i="169"/>
  <c r="AF56" i="169"/>
  <c r="AG56" i="169"/>
  <c r="AH56" i="169"/>
  <c r="AI56" i="169"/>
  <c r="D56" i="169"/>
  <c r="G6" i="172"/>
  <c r="B147" i="166"/>
  <c r="F95" i="166"/>
  <c r="F96" i="166"/>
  <c r="F98" i="166"/>
  <c r="F99" i="166"/>
  <c r="F100" i="166"/>
  <c r="F101" i="166"/>
  <c r="F102" i="166"/>
  <c r="F103" i="166"/>
  <c r="F104" i="166"/>
  <c r="F105" i="166"/>
  <c r="F106" i="166"/>
  <c r="F107" i="166"/>
  <c r="F109" i="166"/>
  <c r="F108" i="166"/>
  <c r="F110" i="166"/>
  <c r="F112" i="166"/>
  <c r="F114" i="166"/>
  <c r="F117" i="166"/>
  <c r="F121" i="166"/>
  <c r="F132" i="166"/>
  <c r="F133" i="166"/>
  <c r="F122" i="166"/>
  <c r="F123" i="166"/>
  <c r="F125" i="166"/>
  <c r="F147" i="166"/>
  <c r="G95" i="166"/>
  <c r="G96" i="166"/>
  <c r="G98" i="166"/>
  <c r="G99" i="166"/>
  <c r="G100" i="166"/>
  <c r="G101" i="166"/>
  <c r="G102" i="166"/>
  <c r="G103" i="166"/>
  <c r="G104" i="166"/>
  <c r="G105" i="166"/>
  <c r="G106" i="166"/>
  <c r="G107" i="166"/>
  <c r="G109" i="166"/>
  <c r="G108" i="166"/>
  <c r="G110" i="166"/>
  <c r="G112" i="166"/>
  <c r="G114" i="166"/>
  <c r="G117" i="166"/>
  <c r="G121" i="166"/>
  <c r="G132" i="166"/>
  <c r="G133" i="166"/>
  <c r="G122" i="166"/>
  <c r="G123" i="166"/>
  <c r="G125" i="166"/>
  <c r="G147" i="166"/>
  <c r="H95" i="166"/>
  <c r="H96" i="166"/>
  <c r="H98" i="166"/>
  <c r="H99" i="166"/>
  <c r="H100" i="166"/>
  <c r="H101" i="166"/>
  <c r="H102" i="166"/>
  <c r="H103" i="166"/>
  <c r="H104" i="166"/>
  <c r="H105" i="166"/>
  <c r="H106" i="166"/>
  <c r="H107" i="166"/>
  <c r="H109" i="166"/>
  <c r="H108" i="166"/>
  <c r="H110" i="166"/>
  <c r="H112" i="166"/>
  <c r="H114" i="166"/>
  <c r="H117" i="166"/>
  <c r="H121" i="166"/>
  <c r="H132" i="166"/>
  <c r="H133" i="166"/>
  <c r="H122" i="166"/>
  <c r="H123" i="166"/>
  <c r="H125" i="166"/>
  <c r="H147" i="166"/>
  <c r="I95" i="166"/>
  <c r="I96" i="166"/>
  <c r="I98" i="166"/>
  <c r="I99" i="166"/>
  <c r="I100" i="166"/>
  <c r="I101" i="166"/>
  <c r="I102" i="166"/>
  <c r="I103" i="166"/>
  <c r="I104" i="166"/>
  <c r="I105" i="166"/>
  <c r="I106" i="166"/>
  <c r="I107" i="166"/>
  <c r="I109" i="166"/>
  <c r="I108" i="166"/>
  <c r="I110" i="166"/>
  <c r="I112" i="166"/>
  <c r="I114" i="166"/>
  <c r="I117" i="166"/>
  <c r="I121" i="166"/>
  <c r="I132" i="166"/>
  <c r="I133" i="166"/>
  <c r="I122" i="166"/>
  <c r="I123" i="166"/>
  <c r="I125" i="166"/>
  <c r="I147" i="166"/>
  <c r="J95" i="166"/>
  <c r="J96" i="166"/>
  <c r="J98" i="166"/>
  <c r="J99" i="166"/>
  <c r="J100" i="166"/>
  <c r="J101" i="166"/>
  <c r="J102" i="166"/>
  <c r="J103" i="166"/>
  <c r="J104" i="166"/>
  <c r="J105" i="166"/>
  <c r="J106" i="166"/>
  <c r="J107" i="166"/>
  <c r="J109" i="166"/>
  <c r="J108" i="166"/>
  <c r="J110" i="166"/>
  <c r="J112" i="166"/>
  <c r="J114" i="166"/>
  <c r="J117" i="166"/>
  <c r="J121" i="166"/>
  <c r="J132" i="166"/>
  <c r="J133" i="166"/>
  <c r="J122" i="166"/>
  <c r="J123" i="166"/>
  <c r="J125" i="166"/>
  <c r="J147" i="166"/>
  <c r="K95" i="166"/>
  <c r="K96" i="166"/>
  <c r="K98" i="166"/>
  <c r="K99" i="166"/>
  <c r="K100" i="166"/>
  <c r="K101" i="166"/>
  <c r="K102" i="166"/>
  <c r="K103" i="166"/>
  <c r="K104" i="166"/>
  <c r="K105" i="166"/>
  <c r="K106" i="166"/>
  <c r="K107" i="166"/>
  <c r="K109" i="166"/>
  <c r="K108" i="166"/>
  <c r="K110" i="166"/>
  <c r="K112" i="166"/>
  <c r="K114" i="166"/>
  <c r="K117" i="166"/>
  <c r="K121" i="166"/>
  <c r="K132" i="166"/>
  <c r="K133" i="166"/>
  <c r="K122" i="166"/>
  <c r="K123" i="166"/>
  <c r="K125" i="166"/>
  <c r="K147" i="166"/>
  <c r="L95" i="166"/>
  <c r="L96" i="166"/>
  <c r="L98" i="166"/>
  <c r="L99" i="166"/>
  <c r="L100" i="166"/>
  <c r="L101" i="166"/>
  <c r="L102" i="166"/>
  <c r="L103" i="166"/>
  <c r="L104" i="166"/>
  <c r="L105" i="166"/>
  <c r="L106" i="166"/>
  <c r="L107" i="166"/>
  <c r="L109" i="166"/>
  <c r="L108" i="166"/>
  <c r="L110" i="166"/>
  <c r="L112" i="166"/>
  <c r="L114" i="166"/>
  <c r="L117" i="166"/>
  <c r="L121" i="166"/>
  <c r="L132" i="166"/>
  <c r="L133" i="166"/>
  <c r="L122" i="166"/>
  <c r="L123" i="166"/>
  <c r="L125" i="166"/>
  <c r="L147" i="166"/>
  <c r="M95" i="166"/>
  <c r="M96" i="166"/>
  <c r="M98" i="166"/>
  <c r="M99" i="166"/>
  <c r="M100" i="166"/>
  <c r="M101" i="166"/>
  <c r="M102" i="166"/>
  <c r="M103" i="166"/>
  <c r="M104" i="166"/>
  <c r="M105" i="166"/>
  <c r="M106" i="166"/>
  <c r="M107" i="166"/>
  <c r="M109" i="166"/>
  <c r="M108" i="166"/>
  <c r="M110" i="166"/>
  <c r="M112" i="166"/>
  <c r="M114" i="166"/>
  <c r="M117" i="166"/>
  <c r="M121" i="166"/>
  <c r="M132" i="166"/>
  <c r="M133" i="166"/>
  <c r="M122" i="166"/>
  <c r="M123" i="166"/>
  <c r="M125" i="166"/>
  <c r="M147" i="166"/>
  <c r="N95" i="166"/>
  <c r="N96" i="166"/>
  <c r="N98" i="166"/>
  <c r="N99" i="166"/>
  <c r="N100" i="166"/>
  <c r="N101" i="166"/>
  <c r="N102" i="166"/>
  <c r="N103" i="166"/>
  <c r="N104" i="166"/>
  <c r="N105" i="166"/>
  <c r="N106" i="166"/>
  <c r="N107" i="166"/>
  <c r="N109" i="166"/>
  <c r="N108" i="166"/>
  <c r="N110" i="166"/>
  <c r="N112" i="166"/>
  <c r="N114" i="166"/>
  <c r="N117" i="166"/>
  <c r="N121" i="166"/>
  <c r="N132" i="166"/>
  <c r="N133" i="166"/>
  <c r="N122" i="166"/>
  <c r="N123" i="166"/>
  <c r="N125" i="166"/>
  <c r="N147" i="166"/>
  <c r="O95" i="166"/>
  <c r="O96" i="166"/>
  <c r="O98" i="166"/>
  <c r="O99" i="166"/>
  <c r="O100" i="166"/>
  <c r="O101" i="166"/>
  <c r="O102" i="166"/>
  <c r="O103" i="166"/>
  <c r="O104" i="166"/>
  <c r="O105" i="166"/>
  <c r="O106" i="166"/>
  <c r="O107" i="166"/>
  <c r="O109" i="166"/>
  <c r="O108" i="166"/>
  <c r="O110" i="166"/>
  <c r="O112" i="166"/>
  <c r="O114" i="166"/>
  <c r="O117" i="166"/>
  <c r="O122" i="166"/>
  <c r="O123" i="166"/>
  <c r="O125" i="166"/>
  <c r="O147" i="166"/>
  <c r="P95" i="166"/>
  <c r="P96" i="166"/>
  <c r="P98" i="166"/>
  <c r="P99" i="166"/>
  <c r="P100" i="166"/>
  <c r="P101" i="166"/>
  <c r="P102" i="166"/>
  <c r="P103" i="166"/>
  <c r="P104" i="166"/>
  <c r="P105" i="166"/>
  <c r="P106" i="166"/>
  <c r="P107" i="166"/>
  <c r="P109" i="166"/>
  <c r="P108" i="166"/>
  <c r="P110" i="166"/>
  <c r="P112" i="166"/>
  <c r="P114" i="166"/>
  <c r="P117" i="166"/>
  <c r="P121" i="166"/>
  <c r="P122" i="166"/>
  <c r="P123" i="166"/>
  <c r="P125" i="166"/>
  <c r="P147" i="166"/>
  <c r="Q95" i="166"/>
  <c r="Q96" i="166"/>
  <c r="Q98" i="166"/>
  <c r="Q99" i="166"/>
  <c r="Q100" i="166"/>
  <c r="Q101" i="166"/>
  <c r="Q102" i="166"/>
  <c r="Q103" i="166"/>
  <c r="Q104" i="166"/>
  <c r="Q105" i="166"/>
  <c r="Q106" i="166"/>
  <c r="Q107" i="166"/>
  <c r="Q109" i="166"/>
  <c r="Q108" i="166"/>
  <c r="Q110" i="166"/>
  <c r="Q112" i="166"/>
  <c r="Q114" i="166"/>
  <c r="Q117" i="166"/>
  <c r="Q121" i="166"/>
  <c r="Q122" i="166"/>
  <c r="Q123" i="166"/>
  <c r="Q125" i="166"/>
  <c r="Q147" i="166"/>
  <c r="R95" i="166"/>
  <c r="R96" i="166"/>
  <c r="R98" i="166"/>
  <c r="R99" i="166"/>
  <c r="R100" i="166"/>
  <c r="R101" i="166"/>
  <c r="R102" i="166"/>
  <c r="R103" i="166"/>
  <c r="R104" i="166"/>
  <c r="R105" i="166"/>
  <c r="R106" i="166"/>
  <c r="R107" i="166"/>
  <c r="R109" i="166"/>
  <c r="R108" i="166"/>
  <c r="R110" i="166"/>
  <c r="R112" i="166"/>
  <c r="R114" i="166"/>
  <c r="R117" i="166"/>
  <c r="R121" i="166"/>
  <c r="R122" i="166"/>
  <c r="R123" i="166"/>
  <c r="R125" i="166"/>
  <c r="R147" i="166"/>
  <c r="S95" i="166"/>
  <c r="S96" i="166"/>
  <c r="S98" i="166"/>
  <c r="S99" i="166"/>
  <c r="S100" i="166"/>
  <c r="S101" i="166"/>
  <c r="S102" i="166"/>
  <c r="S103" i="166"/>
  <c r="S104" i="166"/>
  <c r="S105" i="166"/>
  <c r="S106" i="166"/>
  <c r="S107" i="166"/>
  <c r="S109" i="166"/>
  <c r="S108" i="166"/>
  <c r="S110" i="166"/>
  <c r="S112" i="166"/>
  <c r="S114" i="166"/>
  <c r="S117" i="166"/>
  <c r="S121" i="166"/>
  <c r="S122" i="166"/>
  <c r="S123" i="166"/>
  <c r="S125" i="166"/>
  <c r="S147" i="166"/>
  <c r="T95" i="166"/>
  <c r="T96" i="166"/>
  <c r="T98" i="166"/>
  <c r="T99" i="166"/>
  <c r="T100" i="166"/>
  <c r="T101" i="166"/>
  <c r="T102" i="166"/>
  <c r="T103" i="166"/>
  <c r="T104" i="166"/>
  <c r="T105" i="166"/>
  <c r="T106" i="166"/>
  <c r="T107" i="166"/>
  <c r="T109" i="166"/>
  <c r="T108" i="166"/>
  <c r="T110" i="166"/>
  <c r="T112" i="166"/>
  <c r="T114" i="166"/>
  <c r="T117" i="166"/>
  <c r="T121" i="166"/>
  <c r="T122" i="166"/>
  <c r="T123" i="166"/>
  <c r="T125" i="166"/>
  <c r="T147" i="166"/>
  <c r="U95" i="166"/>
  <c r="U96" i="166"/>
  <c r="U98" i="166"/>
  <c r="U99" i="166"/>
  <c r="U100" i="166"/>
  <c r="U101" i="166"/>
  <c r="U102" i="166"/>
  <c r="U103" i="166"/>
  <c r="U104" i="166"/>
  <c r="U105" i="166"/>
  <c r="U106" i="166"/>
  <c r="U107" i="166"/>
  <c r="U109" i="166"/>
  <c r="U108" i="166"/>
  <c r="U110" i="166"/>
  <c r="U112" i="166"/>
  <c r="U114" i="166"/>
  <c r="U117" i="166"/>
  <c r="U121" i="166"/>
  <c r="U122" i="166"/>
  <c r="U123" i="166"/>
  <c r="U125" i="166"/>
  <c r="U147" i="166"/>
  <c r="V95" i="166"/>
  <c r="V96" i="166"/>
  <c r="V98" i="166"/>
  <c r="V99" i="166"/>
  <c r="V100" i="166"/>
  <c r="V101" i="166"/>
  <c r="V102" i="166"/>
  <c r="V103" i="166"/>
  <c r="V104" i="166"/>
  <c r="V105" i="166"/>
  <c r="V106" i="166"/>
  <c r="V107" i="166"/>
  <c r="V109" i="166"/>
  <c r="V108" i="166"/>
  <c r="V110" i="166"/>
  <c r="V112" i="166"/>
  <c r="V114" i="166"/>
  <c r="V117" i="166"/>
  <c r="V121" i="166"/>
  <c r="V122" i="166"/>
  <c r="V123" i="166"/>
  <c r="V125" i="166"/>
  <c r="V147" i="166"/>
  <c r="W95" i="166"/>
  <c r="W96" i="166"/>
  <c r="W98" i="166"/>
  <c r="W99" i="166"/>
  <c r="W100" i="166"/>
  <c r="W101" i="166"/>
  <c r="W102" i="166"/>
  <c r="W103" i="166"/>
  <c r="W104" i="166"/>
  <c r="W105" i="166"/>
  <c r="W106" i="166"/>
  <c r="W107" i="166"/>
  <c r="W109" i="166"/>
  <c r="W108" i="166"/>
  <c r="W110" i="166"/>
  <c r="W112" i="166"/>
  <c r="W114" i="166"/>
  <c r="W117" i="166"/>
  <c r="W121" i="166"/>
  <c r="W122" i="166"/>
  <c r="W123" i="166"/>
  <c r="W125" i="166"/>
  <c r="W147" i="166"/>
  <c r="X95" i="166"/>
  <c r="X96" i="166"/>
  <c r="X98" i="166"/>
  <c r="X99" i="166"/>
  <c r="X100" i="166"/>
  <c r="X101" i="166"/>
  <c r="X102" i="166"/>
  <c r="X103" i="166"/>
  <c r="X104" i="166"/>
  <c r="X105" i="166"/>
  <c r="X106" i="166"/>
  <c r="X107" i="166"/>
  <c r="X109" i="166"/>
  <c r="X108" i="166"/>
  <c r="X110" i="166"/>
  <c r="X112" i="166"/>
  <c r="X114" i="166"/>
  <c r="X117" i="166"/>
  <c r="X121" i="166"/>
  <c r="X122" i="166"/>
  <c r="X123" i="166"/>
  <c r="X125" i="166"/>
  <c r="X147" i="166"/>
  <c r="Y95" i="166"/>
  <c r="Y96" i="166"/>
  <c r="Y98" i="166"/>
  <c r="Y99" i="166"/>
  <c r="Y100" i="166"/>
  <c r="Y101" i="166"/>
  <c r="Y102" i="166"/>
  <c r="Y103" i="166"/>
  <c r="Y104" i="166"/>
  <c r="Y105" i="166"/>
  <c r="Y106" i="166"/>
  <c r="Y107" i="166"/>
  <c r="Y109" i="166"/>
  <c r="Y108" i="166"/>
  <c r="Y110" i="166"/>
  <c r="Y112" i="166"/>
  <c r="Y114" i="166"/>
  <c r="Y117" i="166"/>
  <c r="Y121" i="166"/>
  <c r="Y132" i="166"/>
  <c r="Y133" i="166"/>
  <c r="Y122" i="166"/>
  <c r="Y123" i="166"/>
  <c r="Y125" i="166"/>
  <c r="Y147" i="166"/>
  <c r="Z95" i="166"/>
  <c r="Z96" i="166"/>
  <c r="Z98" i="166"/>
  <c r="Z99" i="166"/>
  <c r="Z100" i="166"/>
  <c r="Z101" i="166"/>
  <c r="Z102" i="166"/>
  <c r="Z103" i="166"/>
  <c r="Z104" i="166"/>
  <c r="Z105" i="166"/>
  <c r="Z106" i="166"/>
  <c r="Z107" i="166"/>
  <c r="Z109" i="166"/>
  <c r="Z108" i="166"/>
  <c r="Z110" i="166"/>
  <c r="Z112" i="166"/>
  <c r="Z114" i="166"/>
  <c r="Z117" i="166"/>
  <c r="Z121" i="166"/>
  <c r="Z132" i="166"/>
  <c r="Z133" i="166"/>
  <c r="Z122" i="166"/>
  <c r="Z123" i="166"/>
  <c r="Z125" i="166"/>
  <c r="Z147" i="166"/>
  <c r="AA95" i="166"/>
  <c r="AA96" i="166"/>
  <c r="AA98" i="166"/>
  <c r="AA99" i="166"/>
  <c r="AA100" i="166"/>
  <c r="AA101" i="166"/>
  <c r="AA102" i="166"/>
  <c r="AA103" i="166"/>
  <c r="AA104" i="166"/>
  <c r="AA105" i="166"/>
  <c r="AA106" i="166"/>
  <c r="AA107" i="166"/>
  <c r="AA109" i="166"/>
  <c r="AA108" i="166"/>
  <c r="AA110" i="166"/>
  <c r="AA112" i="166"/>
  <c r="AA114" i="166"/>
  <c r="AA117" i="166"/>
  <c r="AA121" i="166"/>
  <c r="AA132" i="166"/>
  <c r="AA133" i="166"/>
  <c r="AA122" i="166"/>
  <c r="AA123" i="166"/>
  <c r="AA125" i="166"/>
  <c r="AA147" i="166"/>
  <c r="AB95" i="166"/>
  <c r="AB96" i="166"/>
  <c r="AB98" i="166"/>
  <c r="AB99" i="166"/>
  <c r="AB100" i="166"/>
  <c r="AB101" i="166"/>
  <c r="AB102" i="166"/>
  <c r="AB103" i="166"/>
  <c r="AB104" i="166"/>
  <c r="AB105" i="166"/>
  <c r="AB106" i="166"/>
  <c r="AB107" i="166"/>
  <c r="AB109" i="166"/>
  <c r="AB108" i="166"/>
  <c r="AB110" i="166"/>
  <c r="AB112" i="166"/>
  <c r="AB114" i="166"/>
  <c r="AB117" i="166"/>
  <c r="AB121" i="166"/>
  <c r="AB132" i="166"/>
  <c r="AB133" i="166"/>
  <c r="AB122" i="166"/>
  <c r="AB123" i="166"/>
  <c r="AB125" i="166"/>
  <c r="AB147" i="166"/>
  <c r="AC95" i="166"/>
  <c r="AC96" i="166"/>
  <c r="AC98" i="166"/>
  <c r="AC99" i="166"/>
  <c r="AC100" i="166"/>
  <c r="AC101" i="166"/>
  <c r="AC102" i="166"/>
  <c r="AC103" i="166"/>
  <c r="AC104" i="166"/>
  <c r="AC105" i="166"/>
  <c r="AC106" i="166"/>
  <c r="AC107" i="166"/>
  <c r="AC109" i="166"/>
  <c r="AC108" i="166"/>
  <c r="AC110" i="166"/>
  <c r="AC112" i="166"/>
  <c r="AC114" i="166"/>
  <c r="AC117" i="166"/>
  <c r="AC121" i="166"/>
  <c r="AC132" i="166"/>
  <c r="AC133" i="166"/>
  <c r="AC122" i="166"/>
  <c r="AC123" i="166"/>
  <c r="AC125" i="166"/>
  <c r="AC147" i="166"/>
  <c r="AD95" i="166"/>
  <c r="AD96" i="166"/>
  <c r="AD98" i="166"/>
  <c r="AD99" i="166"/>
  <c r="AD100" i="166"/>
  <c r="AD101" i="166"/>
  <c r="AD102" i="166"/>
  <c r="AD103" i="166"/>
  <c r="AD104" i="166"/>
  <c r="AD105" i="166"/>
  <c r="AD106" i="166"/>
  <c r="AD107" i="166"/>
  <c r="AD109" i="166"/>
  <c r="AD108" i="166"/>
  <c r="AD110" i="166"/>
  <c r="AD112" i="166"/>
  <c r="AD114" i="166"/>
  <c r="AD117" i="166"/>
  <c r="AD121" i="166"/>
  <c r="AD132" i="166"/>
  <c r="AD133" i="166"/>
  <c r="AD122" i="166"/>
  <c r="AD123" i="166"/>
  <c r="AD125" i="166"/>
  <c r="AD147" i="166"/>
  <c r="AE95" i="166"/>
  <c r="AE96" i="166"/>
  <c r="AE98" i="166"/>
  <c r="AE99" i="166"/>
  <c r="AE100" i="166"/>
  <c r="AE101" i="166"/>
  <c r="AE102" i="166"/>
  <c r="AE103" i="166"/>
  <c r="AE104" i="166"/>
  <c r="AE105" i="166"/>
  <c r="AE106" i="166"/>
  <c r="AE107" i="166"/>
  <c r="AE109" i="166"/>
  <c r="AE108" i="166"/>
  <c r="AE110" i="166"/>
  <c r="AE112" i="166"/>
  <c r="AE114" i="166"/>
  <c r="AE117" i="166"/>
  <c r="AE121" i="166"/>
  <c r="AE132" i="166"/>
  <c r="AE133" i="166"/>
  <c r="AE122" i="166"/>
  <c r="AE123" i="166"/>
  <c r="AE125" i="166"/>
  <c r="AE147" i="166"/>
  <c r="AF95" i="166"/>
  <c r="AF96" i="166"/>
  <c r="AF98" i="166"/>
  <c r="AF99" i="166"/>
  <c r="AF100" i="166"/>
  <c r="AF101" i="166"/>
  <c r="AF102" i="166"/>
  <c r="AF103" i="166"/>
  <c r="AF104" i="166"/>
  <c r="AF105" i="166"/>
  <c r="AF106" i="166"/>
  <c r="AF107" i="166"/>
  <c r="AF109" i="166"/>
  <c r="AF108" i="166"/>
  <c r="AF110" i="166"/>
  <c r="AF112" i="166"/>
  <c r="AF114" i="166"/>
  <c r="AF117" i="166"/>
  <c r="AF121" i="166"/>
  <c r="AF132" i="166"/>
  <c r="AF133" i="166"/>
  <c r="AF122" i="166"/>
  <c r="AF123" i="166"/>
  <c r="AF125" i="166"/>
  <c r="AF147" i="166"/>
  <c r="AG95" i="166"/>
  <c r="AG96" i="166"/>
  <c r="AG98" i="166"/>
  <c r="AG99" i="166"/>
  <c r="AG100" i="166"/>
  <c r="AG101" i="166"/>
  <c r="AG102" i="166"/>
  <c r="AG103" i="166"/>
  <c r="AG104" i="166"/>
  <c r="AG105" i="166"/>
  <c r="AG106" i="166"/>
  <c r="AG107" i="166"/>
  <c r="AG109" i="166"/>
  <c r="AG108" i="166"/>
  <c r="AG110" i="166"/>
  <c r="AG112" i="166"/>
  <c r="AG114" i="166"/>
  <c r="AG117" i="166"/>
  <c r="AG121" i="166"/>
  <c r="AG132" i="166"/>
  <c r="AG133" i="166"/>
  <c r="AG122" i="166"/>
  <c r="AG123" i="166"/>
  <c r="AG125" i="166"/>
  <c r="AG147" i="166"/>
  <c r="AH95" i="166"/>
  <c r="AH96" i="166"/>
  <c r="AH98" i="166"/>
  <c r="AH99" i="166"/>
  <c r="AH100" i="166"/>
  <c r="AH101" i="166"/>
  <c r="AH102" i="166"/>
  <c r="AH103" i="166"/>
  <c r="AH104" i="166"/>
  <c r="AH105" i="166"/>
  <c r="AH106" i="166"/>
  <c r="AH107" i="166"/>
  <c r="AH109" i="166"/>
  <c r="AH108" i="166"/>
  <c r="AH110" i="166"/>
  <c r="AH112" i="166"/>
  <c r="AH114" i="166"/>
  <c r="AH117" i="166"/>
  <c r="AH121" i="166"/>
  <c r="AH132" i="166"/>
  <c r="AH133" i="166"/>
  <c r="AH122" i="166"/>
  <c r="AH123" i="166"/>
  <c r="AH125" i="166"/>
  <c r="AH147" i="166"/>
  <c r="AI95" i="166"/>
  <c r="AI96" i="166"/>
  <c r="AI98" i="166"/>
  <c r="AI99" i="166"/>
  <c r="AI100" i="166"/>
  <c r="AI101" i="166"/>
  <c r="AI102" i="166"/>
  <c r="AI103" i="166"/>
  <c r="AI104" i="166"/>
  <c r="AI105" i="166"/>
  <c r="AI106" i="166"/>
  <c r="AI107" i="166"/>
  <c r="AI109" i="166"/>
  <c r="AI108" i="166"/>
  <c r="AI110" i="166"/>
  <c r="AI112" i="166"/>
  <c r="AI114" i="166"/>
  <c r="AI117" i="166"/>
  <c r="AI121" i="166"/>
  <c r="AI132" i="166"/>
  <c r="AI133" i="166"/>
  <c r="AI122" i="166"/>
  <c r="AI123" i="166"/>
  <c r="AI125" i="166"/>
  <c r="AI147" i="166"/>
  <c r="E147" i="166"/>
  <c r="C147" i="166"/>
  <c r="C36" i="169"/>
  <c r="B36" i="169"/>
  <c r="F36" i="169"/>
  <c r="G36" i="169"/>
  <c r="H36" i="169"/>
  <c r="I36" i="169"/>
  <c r="J36" i="169"/>
  <c r="K36" i="169"/>
  <c r="L36" i="169"/>
  <c r="M36" i="169"/>
  <c r="N36" i="169"/>
  <c r="O36" i="169"/>
  <c r="P36" i="169"/>
  <c r="Q36" i="169"/>
  <c r="R36" i="169"/>
  <c r="S36" i="169"/>
  <c r="T36" i="169"/>
  <c r="U36" i="169"/>
  <c r="V36" i="169"/>
  <c r="W36" i="169"/>
  <c r="X36" i="169"/>
  <c r="Y36" i="169"/>
  <c r="Z36" i="169"/>
  <c r="AA36" i="169"/>
  <c r="AB36" i="169"/>
  <c r="AC36" i="169"/>
  <c r="AD36" i="169"/>
  <c r="AE36" i="169"/>
  <c r="AF36" i="169"/>
  <c r="AG36" i="169"/>
  <c r="AH36" i="169"/>
  <c r="AI36" i="169"/>
  <c r="E36" i="169"/>
  <c r="D36" i="169"/>
  <c r="H5" i="172"/>
  <c r="B146" i="166"/>
  <c r="E146" i="166"/>
  <c r="F146" i="166"/>
  <c r="G146" i="166"/>
  <c r="H146" i="166"/>
  <c r="I146" i="166"/>
  <c r="J146" i="166"/>
  <c r="K146" i="166"/>
  <c r="L146" i="166"/>
  <c r="M146" i="166"/>
  <c r="N146" i="166"/>
  <c r="O146" i="166"/>
  <c r="P146" i="166"/>
  <c r="Q146" i="166"/>
  <c r="R146" i="166"/>
  <c r="S146" i="166"/>
  <c r="T146" i="166"/>
  <c r="U146" i="166"/>
  <c r="V146" i="166"/>
  <c r="W146" i="166"/>
  <c r="X146" i="166"/>
  <c r="Y146" i="166"/>
  <c r="Z146" i="166"/>
  <c r="AA146" i="166"/>
  <c r="AB146" i="166"/>
  <c r="AC146" i="166"/>
  <c r="AD146" i="166"/>
  <c r="AE146" i="166"/>
  <c r="AF146" i="166"/>
  <c r="AG146" i="166"/>
  <c r="AH146" i="166"/>
  <c r="AI146" i="166"/>
  <c r="C146" i="166"/>
  <c r="C35" i="169"/>
  <c r="D35" i="169"/>
  <c r="G5" i="172"/>
  <c r="B147" i="89"/>
  <c r="F47" i="89"/>
  <c r="F95" i="89"/>
  <c r="F96" i="89"/>
  <c r="F94" i="89"/>
  <c r="F97" i="89"/>
  <c r="F98" i="89"/>
  <c r="F99" i="89"/>
  <c r="F100" i="89"/>
  <c r="F101" i="89"/>
  <c r="F102" i="89"/>
  <c r="F103" i="89"/>
  <c r="F104" i="89"/>
  <c r="F105" i="89"/>
  <c r="I28" i="89"/>
  <c r="F134" i="89"/>
  <c r="F106" i="89"/>
  <c r="F107" i="89"/>
  <c r="F109" i="89"/>
  <c r="F108" i="89"/>
  <c r="F110" i="89"/>
  <c r="F112" i="89"/>
  <c r="F114" i="89"/>
  <c r="F117" i="89"/>
  <c r="F121" i="89"/>
  <c r="F132" i="89"/>
  <c r="F133" i="89"/>
  <c r="F122" i="89"/>
  <c r="F123" i="89"/>
  <c r="F125" i="89"/>
  <c r="F147" i="89"/>
  <c r="G47" i="89"/>
  <c r="G95" i="89"/>
  <c r="G96" i="89"/>
  <c r="G94" i="89"/>
  <c r="G97" i="89"/>
  <c r="G98" i="89"/>
  <c r="G99" i="89"/>
  <c r="G100" i="89"/>
  <c r="G101" i="89"/>
  <c r="G102" i="89"/>
  <c r="G103" i="89"/>
  <c r="G104" i="89"/>
  <c r="G105" i="89"/>
  <c r="G134" i="89"/>
  <c r="G106" i="89"/>
  <c r="G107" i="89"/>
  <c r="G109" i="89"/>
  <c r="G108" i="89"/>
  <c r="G110" i="89"/>
  <c r="G112" i="89"/>
  <c r="G114" i="89"/>
  <c r="G117" i="89"/>
  <c r="G121" i="89"/>
  <c r="G132" i="89"/>
  <c r="G133" i="89"/>
  <c r="G122" i="89"/>
  <c r="G123" i="89"/>
  <c r="G125" i="89"/>
  <c r="G147" i="89"/>
  <c r="H47" i="89"/>
  <c r="H95" i="89"/>
  <c r="H96" i="89"/>
  <c r="H94" i="89"/>
  <c r="H97" i="89"/>
  <c r="H98" i="89"/>
  <c r="H99" i="89"/>
  <c r="H100" i="89"/>
  <c r="H101" i="89"/>
  <c r="H102" i="89"/>
  <c r="H103" i="89"/>
  <c r="H104" i="89"/>
  <c r="H105" i="89"/>
  <c r="H134" i="89"/>
  <c r="H106" i="89"/>
  <c r="H107" i="89"/>
  <c r="H109" i="89"/>
  <c r="H108" i="89"/>
  <c r="H110" i="89"/>
  <c r="H112" i="89"/>
  <c r="H114" i="89"/>
  <c r="H117" i="89"/>
  <c r="H121" i="89"/>
  <c r="H132" i="89"/>
  <c r="H133" i="89"/>
  <c r="H122" i="89"/>
  <c r="H123" i="89"/>
  <c r="H125" i="89"/>
  <c r="H147" i="89"/>
  <c r="I47" i="89"/>
  <c r="I95" i="89"/>
  <c r="I96" i="89"/>
  <c r="I94" i="89"/>
  <c r="I97" i="89"/>
  <c r="I98" i="89"/>
  <c r="I99" i="89"/>
  <c r="I100" i="89"/>
  <c r="I101" i="89"/>
  <c r="I102" i="89"/>
  <c r="I103" i="89"/>
  <c r="I104" i="89"/>
  <c r="I105" i="89"/>
  <c r="I134" i="89"/>
  <c r="I106" i="89"/>
  <c r="I107" i="89"/>
  <c r="I109" i="89"/>
  <c r="I108" i="89"/>
  <c r="I110" i="89"/>
  <c r="I112" i="89"/>
  <c r="I114" i="89"/>
  <c r="I117" i="89"/>
  <c r="I121" i="89"/>
  <c r="I132" i="89"/>
  <c r="I133" i="89"/>
  <c r="I122" i="89"/>
  <c r="I123" i="89"/>
  <c r="I125" i="89"/>
  <c r="I147" i="89"/>
  <c r="J47" i="89"/>
  <c r="J95" i="89"/>
  <c r="J96" i="89"/>
  <c r="J94" i="89"/>
  <c r="J97" i="89"/>
  <c r="J98" i="89"/>
  <c r="J99" i="89"/>
  <c r="J100" i="89"/>
  <c r="J101" i="89"/>
  <c r="J102" i="89"/>
  <c r="J103" i="89"/>
  <c r="J104" i="89"/>
  <c r="J105" i="89"/>
  <c r="J134" i="89"/>
  <c r="J106" i="89"/>
  <c r="J107" i="89"/>
  <c r="J109" i="89"/>
  <c r="J108" i="89"/>
  <c r="J110" i="89"/>
  <c r="J112" i="89"/>
  <c r="J114" i="89"/>
  <c r="J117" i="89"/>
  <c r="J121" i="89"/>
  <c r="J132" i="89"/>
  <c r="J133" i="89"/>
  <c r="J122" i="89"/>
  <c r="J123" i="89"/>
  <c r="J125" i="89"/>
  <c r="J147" i="89"/>
  <c r="K47" i="89"/>
  <c r="K95" i="89"/>
  <c r="K96" i="89"/>
  <c r="K94" i="89"/>
  <c r="K97" i="89"/>
  <c r="K98" i="89"/>
  <c r="K99" i="89"/>
  <c r="K100" i="89"/>
  <c r="K101" i="89"/>
  <c r="K102" i="89"/>
  <c r="K103" i="89"/>
  <c r="K104" i="89"/>
  <c r="K105" i="89"/>
  <c r="K134" i="89"/>
  <c r="K106" i="89"/>
  <c r="K107" i="89"/>
  <c r="K109" i="89"/>
  <c r="K108" i="89"/>
  <c r="K110" i="89"/>
  <c r="K112" i="89"/>
  <c r="K114" i="89"/>
  <c r="K117" i="89"/>
  <c r="K121" i="89"/>
  <c r="K132" i="89"/>
  <c r="K133" i="89"/>
  <c r="K122" i="89"/>
  <c r="K123" i="89"/>
  <c r="K125" i="89"/>
  <c r="K147" i="89"/>
  <c r="L47" i="89"/>
  <c r="L95" i="89"/>
  <c r="L96" i="89"/>
  <c r="L94" i="89"/>
  <c r="L97" i="89"/>
  <c r="L98" i="89"/>
  <c r="L99" i="89"/>
  <c r="L100" i="89"/>
  <c r="L101" i="89"/>
  <c r="L102" i="89"/>
  <c r="L103" i="89"/>
  <c r="L104" i="89"/>
  <c r="L105" i="89"/>
  <c r="L134" i="89"/>
  <c r="L106" i="89"/>
  <c r="L107" i="89"/>
  <c r="L109" i="89"/>
  <c r="L108" i="89"/>
  <c r="L110" i="89"/>
  <c r="L112" i="89"/>
  <c r="L114" i="89"/>
  <c r="L117" i="89"/>
  <c r="L121" i="89"/>
  <c r="L132" i="89"/>
  <c r="L133" i="89"/>
  <c r="L122" i="89"/>
  <c r="L123" i="89"/>
  <c r="L125" i="89"/>
  <c r="L147" i="89"/>
  <c r="M47" i="89"/>
  <c r="M95" i="89"/>
  <c r="M96" i="89"/>
  <c r="M94" i="89"/>
  <c r="M97" i="89"/>
  <c r="M98" i="89"/>
  <c r="M99" i="89"/>
  <c r="M100" i="89"/>
  <c r="M101" i="89"/>
  <c r="M102" i="89"/>
  <c r="M103" i="89"/>
  <c r="M104" i="89"/>
  <c r="M105" i="89"/>
  <c r="M134" i="89"/>
  <c r="M106" i="89"/>
  <c r="M107" i="89"/>
  <c r="M109" i="89"/>
  <c r="M108" i="89"/>
  <c r="M110" i="89"/>
  <c r="M112" i="89"/>
  <c r="M114" i="89"/>
  <c r="M117" i="89"/>
  <c r="M121" i="89"/>
  <c r="M132" i="89"/>
  <c r="M133" i="89"/>
  <c r="M122" i="89"/>
  <c r="M123" i="89"/>
  <c r="M125" i="89"/>
  <c r="M147" i="89"/>
  <c r="N47" i="89"/>
  <c r="N95" i="89"/>
  <c r="N96" i="89"/>
  <c r="N94" i="89"/>
  <c r="N97" i="89"/>
  <c r="N98" i="89"/>
  <c r="N99" i="89"/>
  <c r="N100" i="89"/>
  <c r="N101" i="89"/>
  <c r="N102" i="89"/>
  <c r="N103" i="89"/>
  <c r="N104" i="89"/>
  <c r="N105" i="89"/>
  <c r="N134" i="89"/>
  <c r="N106" i="89"/>
  <c r="N107" i="89"/>
  <c r="N109" i="89"/>
  <c r="N108" i="89"/>
  <c r="N110" i="89"/>
  <c r="N112" i="89"/>
  <c r="N114" i="89"/>
  <c r="N117" i="89"/>
  <c r="N121" i="89"/>
  <c r="N132" i="89"/>
  <c r="N133" i="89"/>
  <c r="N122" i="89"/>
  <c r="N123" i="89"/>
  <c r="N125" i="89"/>
  <c r="N147" i="89"/>
  <c r="O47" i="89"/>
  <c r="O95" i="89"/>
  <c r="O96" i="89"/>
  <c r="O94" i="89"/>
  <c r="O97" i="89"/>
  <c r="O98" i="89"/>
  <c r="O99" i="89"/>
  <c r="O100" i="89"/>
  <c r="O101" i="89"/>
  <c r="O102" i="89"/>
  <c r="O103" i="89"/>
  <c r="O104" i="89"/>
  <c r="O105" i="89"/>
  <c r="O134" i="89"/>
  <c r="O106" i="89"/>
  <c r="O107" i="89"/>
  <c r="O109" i="89"/>
  <c r="O108" i="89"/>
  <c r="O110" i="89"/>
  <c r="O112" i="89"/>
  <c r="O114" i="89"/>
  <c r="O117" i="89"/>
  <c r="O121" i="89"/>
  <c r="O132" i="89"/>
  <c r="O133" i="89"/>
  <c r="O122" i="89"/>
  <c r="O123" i="89"/>
  <c r="O125" i="89"/>
  <c r="O147" i="89"/>
  <c r="P47" i="89"/>
  <c r="P95" i="89"/>
  <c r="P96" i="89"/>
  <c r="P94" i="89"/>
  <c r="P97" i="89"/>
  <c r="P98" i="89"/>
  <c r="P99" i="89"/>
  <c r="P100" i="89"/>
  <c r="P101" i="89"/>
  <c r="P102" i="89"/>
  <c r="P103" i="89"/>
  <c r="P104" i="89"/>
  <c r="P105" i="89"/>
  <c r="P134" i="89"/>
  <c r="P106" i="89"/>
  <c r="P107" i="89"/>
  <c r="P109" i="89"/>
  <c r="P108" i="89"/>
  <c r="P110" i="89"/>
  <c r="P112" i="89"/>
  <c r="P114" i="89"/>
  <c r="P117" i="89"/>
  <c r="P121" i="89"/>
  <c r="P132" i="89"/>
  <c r="P133" i="89"/>
  <c r="P122" i="89"/>
  <c r="P123" i="89"/>
  <c r="P125" i="89"/>
  <c r="P147" i="89"/>
  <c r="Q47" i="89"/>
  <c r="Q95" i="89"/>
  <c r="Q96" i="89"/>
  <c r="Q94" i="89"/>
  <c r="Q97" i="89"/>
  <c r="Q98" i="89"/>
  <c r="Q99" i="89"/>
  <c r="Q100" i="89"/>
  <c r="Q101" i="89"/>
  <c r="Q102" i="89"/>
  <c r="Q103" i="89"/>
  <c r="Q104" i="89"/>
  <c r="Q105" i="89"/>
  <c r="Q134" i="89"/>
  <c r="Q106" i="89"/>
  <c r="Q107" i="89"/>
  <c r="Q109" i="89"/>
  <c r="Q108" i="89"/>
  <c r="Q110" i="89"/>
  <c r="Q112" i="89"/>
  <c r="Q114" i="89"/>
  <c r="Q117" i="89"/>
  <c r="Q121" i="89"/>
  <c r="Q132" i="89"/>
  <c r="Q133" i="89"/>
  <c r="Q122" i="89"/>
  <c r="Q123" i="89"/>
  <c r="Q125" i="89"/>
  <c r="Q147" i="89"/>
  <c r="R47" i="89"/>
  <c r="R95" i="89"/>
  <c r="R96" i="89"/>
  <c r="R94" i="89"/>
  <c r="R97" i="89"/>
  <c r="R98" i="89"/>
  <c r="R99" i="89"/>
  <c r="R100" i="89"/>
  <c r="R101" i="89"/>
  <c r="R102" i="89"/>
  <c r="R103" i="89"/>
  <c r="R104" i="89"/>
  <c r="R105" i="89"/>
  <c r="R134" i="89"/>
  <c r="R106" i="89"/>
  <c r="R107" i="89"/>
  <c r="R109" i="89"/>
  <c r="R108" i="89"/>
  <c r="R110" i="89"/>
  <c r="R112" i="89"/>
  <c r="R114" i="89"/>
  <c r="R117" i="89"/>
  <c r="R121" i="89"/>
  <c r="R132" i="89"/>
  <c r="R133" i="89"/>
  <c r="R122" i="89"/>
  <c r="R123" i="89"/>
  <c r="R125" i="89"/>
  <c r="R147" i="89"/>
  <c r="S47" i="89"/>
  <c r="S95" i="89"/>
  <c r="S96" i="89"/>
  <c r="S94" i="89"/>
  <c r="S97" i="89"/>
  <c r="S98" i="89"/>
  <c r="S99" i="89"/>
  <c r="S100" i="89"/>
  <c r="S101" i="89"/>
  <c r="S102" i="89"/>
  <c r="S103" i="89"/>
  <c r="S104" i="89"/>
  <c r="S105" i="89"/>
  <c r="S134" i="89"/>
  <c r="S106" i="89"/>
  <c r="S107" i="89"/>
  <c r="S109" i="89"/>
  <c r="S108" i="89"/>
  <c r="S110" i="89"/>
  <c r="S112" i="89"/>
  <c r="S114" i="89"/>
  <c r="S117" i="89"/>
  <c r="S121" i="89"/>
  <c r="S132" i="89"/>
  <c r="S133" i="89"/>
  <c r="S122" i="89"/>
  <c r="S123" i="89"/>
  <c r="S125" i="89"/>
  <c r="S147" i="89"/>
  <c r="T47" i="89"/>
  <c r="T95" i="89"/>
  <c r="T96" i="89"/>
  <c r="T94" i="89"/>
  <c r="T97" i="89"/>
  <c r="T98" i="89"/>
  <c r="T99" i="89"/>
  <c r="T100" i="89"/>
  <c r="T101" i="89"/>
  <c r="T102" i="89"/>
  <c r="T103" i="89"/>
  <c r="T104" i="89"/>
  <c r="T105" i="89"/>
  <c r="T134" i="89"/>
  <c r="T106" i="89"/>
  <c r="T107" i="89"/>
  <c r="T109" i="89"/>
  <c r="T108" i="89"/>
  <c r="T110" i="89"/>
  <c r="T112" i="89"/>
  <c r="T114" i="89"/>
  <c r="T117" i="89"/>
  <c r="T121" i="89"/>
  <c r="T132" i="89"/>
  <c r="T133" i="89"/>
  <c r="T122" i="89"/>
  <c r="T123" i="89"/>
  <c r="T125" i="89"/>
  <c r="T147" i="89"/>
  <c r="U47" i="89"/>
  <c r="U95" i="89"/>
  <c r="U96" i="89"/>
  <c r="U94" i="89"/>
  <c r="U97" i="89"/>
  <c r="U98" i="89"/>
  <c r="U99" i="89"/>
  <c r="U100" i="89"/>
  <c r="U101" i="89"/>
  <c r="U102" i="89"/>
  <c r="U103" i="89"/>
  <c r="U104" i="89"/>
  <c r="U105" i="89"/>
  <c r="U134" i="89"/>
  <c r="U106" i="89"/>
  <c r="U107" i="89"/>
  <c r="U109" i="89"/>
  <c r="U108" i="89"/>
  <c r="U110" i="89"/>
  <c r="U112" i="89"/>
  <c r="U114" i="89"/>
  <c r="U117" i="89"/>
  <c r="U121" i="89"/>
  <c r="U132" i="89"/>
  <c r="U133" i="89"/>
  <c r="U122" i="89"/>
  <c r="U123" i="89"/>
  <c r="U125" i="89"/>
  <c r="U147" i="89"/>
  <c r="V47" i="89"/>
  <c r="V95" i="89"/>
  <c r="V96" i="89"/>
  <c r="V94" i="89"/>
  <c r="V97" i="89"/>
  <c r="V98" i="89"/>
  <c r="V99" i="89"/>
  <c r="V100" i="89"/>
  <c r="V101" i="89"/>
  <c r="V102" i="89"/>
  <c r="V103" i="89"/>
  <c r="V104" i="89"/>
  <c r="V105" i="89"/>
  <c r="V134" i="89"/>
  <c r="V106" i="89"/>
  <c r="V107" i="89"/>
  <c r="V109" i="89"/>
  <c r="V108" i="89"/>
  <c r="V110" i="89"/>
  <c r="V112" i="89"/>
  <c r="V114" i="89"/>
  <c r="V117" i="89"/>
  <c r="V121" i="89"/>
  <c r="V132" i="89"/>
  <c r="V133" i="89"/>
  <c r="V122" i="89"/>
  <c r="V123" i="89"/>
  <c r="V125" i="89"/>
  <c r="V147" i="89"/>
  <c r="W47" i="89"/>
  <c r="W95" i="89"/>
  <c r="W96" i="89"/>
  <c r="W94" i="89"/>
  <c r="W97" i="89"/>
  <c r="W98" i="89"/>
  <c r="W99" i="89"/>
  <c r="W100" i="89"/>
  <c r="W101" i="89"/>
  <c r="W102" i="89"/>
  <c r="W103" i="89"/>
  <c r="W104" i="89"/>
  <c r="W105" i="89"/>
  <c r="W134" i="89"/>
  <c r="W106" i="89"/>
  <c r="W107" i="89"/>
  <c r="W109" i="89"/>
  <c r="W108" i="89"/>
  <c r="W110" i="89"/>
  <c r="W112" i="89"/>
  <c r="W114" i="89"/>
  <c r="W117" i="89"/>
  <c r="W121" i="89"/>
  <c r="W132" i="89"/>
  <c r="W133" i="89"/>
  <c r="W122" i="89"/>
  <c r="W123" i="89"/>
  <c r="W125" i="89"/>
  <c r="W147" i="89"/>
  <c r="X47" i="89"/>
  <c r="X95" i="89"/>
  <c r="X96" i="89"/>
  <c r="X94" i="89"/>
  <c r="X97" i="89"/>
  <c r="X98" i="89"/>
  <c r="X99" i="89"/>
  <c r="X100" i="89"/>
  <c r="X101" i="89"/>
  <c r="X102" i="89"/>
  <c r="X103" i="89"/>
  <c r="X104" i="89"/>
  <c r="X105" i="89"/>
  <c r="X134" i="89"/>
  <c r="X106" i="89"/>
  <c r="X107" i="89"/>
  <c r="X109" i="89"/>
  <c r="X108" i="89"/>
  <c r="X110" i="89"/>
  <c r="X112" i="89"/>
  <c r="X114" i="89"/>
  <c r="X117" i="89"/>
  <c r="X121" i="89"/>
  <c r="X132" i="89"/>
  <c r="X133" i="89"/>
  <c r="X122" i="89"/>
  <c r="X123" i="89"/>
  <c r="X125" i="89"/>
  <c r="X147" i="89"/>
  <c r="Y47" i="89"/>
  <c r="Y95" i="89"/>
  <c r="Y96" i="89"/>
  <c r="Y94" i="89"/>
  <c r="Y97" i="89"/>
  <c r="Y98" i="89"/>
  <c r="Y99" i="89"/>
  <c r="Y100" i="89"/>
  <c r="Y101" i="89"/>
  <c r="Y102" i="89"/>
  <c r="Y103" i="89"/>
  <c r="Y104" i="89"/>
  <c r="Y105" i="89"/>
  <c r="Y134" i="89"/>
  <c r="Y106" i="89"/>
  <c r="Y107" i="89"/>
  <c r="Y109" i="89"/>
  <c r="Y108" i="89"/>
  <c r="Y110" i="89"/>
  <c r="Y112" i="89"/>
  <c r="Y114" i="89"/>
  <c r="Y117" i="89"/>
  <c r="Y121" i="89"/>
  <c r="Y132" i="89"/>
  <c r="Y133" i="89"/>
  <c r="Y122" i="89"/>
  <c r="Y123" i="89"/>
  <c r="Y125" i="89"/>
  <c r="Y147" i="89"/>
  <c r="Z47" i="89"/>
  <c r="Z94" i="89"/>
  <c r="Z95" i="89"/>
  <c r="Z96" i="89"/>
  <c r="Z97" i="89"/>
  <c r="Z98" i="89"/>
  <c r="Z99" i="89"/>
  <c r="Z100" i="89"/>
  <c r="Z101" i="89"/>
  <c r="Z102" i="89"/>
  <c r="Z103" i="89"/>
  <c r="Z104" i="89"/>
  <c r="Z105" i="89"/>
  <c r="Z134" i="89"/>
  <c r="Z106" i="89"/>
  <c r="Z107" i="89"/>
  <c r="Z109" i="89"/>
  <c r="Z108" i="89"/>
  <c r="Z110" i="89"/>
  <c r="Z112" i="89"/>
  <c r="Z114" i="89"/>
  <c r="Z117" i="89"/>
  <c r="Z121" i="89"/>
  <c r="Z132" i="89"/>
  <c r="Z133" i="89"/>
  <c r="Z122" i="89"/>
  <c r="Z123" i="89"/>
  <c r="Z125" i="89"/>
  <c r="Z147" i="89"/>
  <c r="AA47" i="89"/>
  <c r="AA94" i="89"/>
  <c r="AA95" i="89"/>
  <c r="AA96" i="89"/>
  <c r="AA97" i="89"/>
  <c r="AA98" i="89"/>
  <c r="AA99" i="89"/>
  <c r="AA100" i="89"/>
  <c r="AA101" i="89"/>
  <c r="AA102" i="89"/>
  <c r="AA103" i="89"/>
  <c r="AA104" i="89"/>
  <c r="AA105" i="89"/>
  <c r="AA134" i="89"/>
  <c r="AA106" i="89"/>
  <c r="AA107" i="89"/>
  <c r="AA109" i="89"/>
  <c r="AA108" i="89"/>
  <c r="AA110" i="89"/>
  <c r="AA112" i="89"/>
  <c r="AA114" i="89"/>
  <c r="AA117" i="89"/>
  <c r="AA121" i="89"/>
  <c r="AA132" i="89"/>
  <c r="AA133" i="89"/>
  <c r="AA122" i="89"/>
  <c r="AA123" i="89"/>
  <c r="AA125" i="89"/>
  <c r="AA147" i="89"/>
  <c r="AB47" i="89"/>
  <c r="AB94" i="89"/>
  <c r="AB95" i="89"/>
  <c r="AB96" i="89"/>
  <c r="AB97" i="89"/>
  <c r="AB98" i="89"/>
  <c r="AB99" i="89"/>
  <c r="AB100" i="89"/>
  <c r="AB101" i="89"/>
  <c r="AB102" i="89"/>
  <c r="AB103" i="89"/>
  <c r="AB104" i="89"/>
  <c r="AB105" i="89"/>
  <c r="AB134" i="89"/>
  <c r="AB106" i="89"/>
  <c r="AB107" i="89"/>
  <c r="AB109" i="89"/>
  <c r="AB108" i="89"/>
  <c r="AB110" i="89"/>
  <c r="AB112" i="89"/>
  <c r="AB114" i="89"/>
  <c r="AB117" i="89"/>
  <c r="AB121" i="89"/>
  <c r="AB132" i="89"/>
  <c r="AB133" i="89"/>
  <c r="AB122" i="89"/>
  <c r="AB123" i="89"/>
  <c r="AB125" i="89"/>
  <c r="AB147" i="89"/>
  <c r="AC47" i="89"/>
  <c r="AC94" i="89"/>
  <c r="AC95" i="89"/>
  <c r="AC96" i="89"/>
  <c r="AC97" i="89"/>
  <c r="AC98" i="89"/>
  <c r="AC99" i="89"/>
  <c r="AC100" i="89"/>
  <c r="AC101" i="89"/>
  <c r="AC102" i="89"/>
  <c r="AC103" i="89"/>
  <c r="AC104" i="89"/>
  <c r="AC105" i="89"/>
  <c r="AC134" i="89"/>
  <c r="AC106" i="89"/>
  <c r="AC107" i="89"/>
  <c r="AC109" i="89"/>
  <c r="AC108" i="89"/>
  <c r="AC110" i="89"/>
  <c r="AC112" i="89"/>
  <c r="AC114" i="89"/>
  <c r="AC117" i="89"/>
  <c r="AC121" i="89"/>
  <c r="AC132" i="89"/>
  <c r="AC133" i="89"/>
  <c r="AC122" i="89"/>
  <c r="AC123" i="89"/>
  <c r="AC125" i="89"/>
  <c r="AC147" i="89"/>
  <c r="AD47" i="89"/>
  <c r="AD94" i="89"/>
  <c r="AD95" i="89"/>
  <c r="AD96" i="89"/>
  <c r="AD97" i="89"/>
  <c r="AD98" i="89"/>
  <c r="AD99" i="89"/>
  <c r="AD100" i="89"/>
  <c r="AD101" i="89"/>
  <c r="AD102" i="89"/>
  <c r="AD103" i="89"/>
  <c r="AD104" i="89"/>
  <c r="AD105" i="89"/>
  <c r="AD134" i="89"/>
  <c r="AD106" i="89"/>
  <c r="AD107" i="89"/>
  <c r="AD109" i="89"/>
  <c r="AD108" i="89"/>
  <c r="AD110" i="89"/>
  <c r="AD112" i="89"/>
  <c r="AD114" i="89"/>
  <c r="AD117" i="89"/>
  <c r="AD121" i="89"/>
  <c r="AD132" i="89"/>
  <c r="AD133" i="89"/>
  <c r="AD122" i="89"/>
  <c r="AD123" i="89"/>
  <c r="AD125" i="89"/>
  <c r="AD147" i="89"/>
  <c r="AE47" i="89"/>
  <c r="AE94" i="89"/>
  <c r="AE95" i="89"/>
  <c r="AE96" i="89"/>
  <c r="AE97" i="89"/>
  <c r="AE98" i="89"/>
  <c r="AE99" i="89"/>
  <c r="AE100" i="89"/>
  <c r="AE101" i="89"/>
  <c r="AE102" i="89"/>
  <c r="AE103" i="89"/>
  <c r="AE104" i="89"/>
  <c r="AE105" i="89"/>
  <c r="AE134" i="89"/>
  <c r="AE106" i="89"/>
  <c r="AE107" i="89"/>
  <c r="AE109" i="89"/>
  <c r="AE108" i="89"/>
  <c r="AE110" i="89"/>
  <c r="AE112" i="89"/>
  <c r="AE114" i="89"/>
  <c r="AE117" i="89"/>
  <c r="AE121" i="89"/>
  <c r="AE132" i="89"/>
  <c r="AE133" i="89"/>
  <c r="AE122" i="89"/>
  <c r="AE123" i="89"/>
  <c r="AE125" i="89"/>
  <c r="AE147" i="89"/>
  <c r="AF47" i="89"/>
  <c r="AF94" i="89"/>
  <c r="AF95" i="89"/>
  <c r="AF96" i="89"/>
  <c r="AF97" i="89"/>
  <c r="AF98" i="89"/>
  <c r="AF99" i="89"/>
  <c r="AF100" i="89"/>
  <c r="AF101" i="89"/>
  <c r="AF102" i="89"/>
  <c r="AF103" i="89"/>
  <c r="AF104" i="89"/>
  <c r="AF105" i="89"/>
  <c r="AF134" i="89"/>
  <c r="AF106" i="89"/>
  <c r="AF107" i="89"/>
  <c r="AF109" i="89"/>
  <c r="AF108" i="89"/>
  <c r="AF110" i="89"/>
  <c r="AF112" i="89"/>
  <c r="AF114" i="89"/>
  <c r="AF117" i="89"/>
  <c r="AF121" i="89"/>
  <c r="AF132" i="89"/>
  <c r="AF133" i="89"/>
  <c r="AF122" i="89"/>
  <c r="AF123" i="89"/>
  <c r="AF125" i="89"/>
  <c r="AF147" i="89"/>
  <c r="AG47" i="89"/>
  <c r="AG94" i="89"/>
  <c r="AG95" i="89"/>
  <c r="AG96" i="89"/>
  <c r="AG97" i="89"/>
  <c r="AG98" i="89"/>
  <c r="AG99" i="89"/>
  <c r="AG100" i="89"/>
  <c r="AG101" i="89"/>
  <c r="AG102" i="89"/>
  <c r="AG103" i="89"/>
  <c r="AG104" i="89"/>
  <c r="AG105" i="89"/>
  <c r="AG134" i="89"/>
  <c r="AG106" i="89"/>
  <c r="AG107" i="89"/>
  <c r="AG109" i="89"/>
  <c r="AG108" i="89"/>
  <c r="AG110" i="89"/>
  <c r="AG112" i="89"/>
  <c r="AG114" i="89"/>
  <c r="AG117" i="89"/>
  <c r="AG121" i="89"/>
  <c r="AG132" i="89"/>
  <c r="AG133" i="89"/>
  <c r="AG122" i="89"/>
  <c r="AG123" i="89"/>
  <c r="AG125" i="89"/>
  <c r="AG147" i="89"/>
  <c r="AH47" i="89"/>
  <c r="AH94" i="89"/>
  <c r="AH95" i="89"/>
  <c r="AH96" i="89"/>
  <c r="AH97" i="89"/>
  <c r="AH98" i="89"/>
  <c r="AH99" i="89"/>
  <c r="AH100" i="89"/>
  <c r="AH101" i="89"/>
  <c r="AH102" i="89"/>
  <c r="AH103" i="89"/>
  <c r="AH104" i="89"/>
  <c r="AH105" i="89"/>
  <c r="AH134" i="89"/>
  <c r="AH106" i="89"/>
  <c r="AH107" i="89"/>
  <c r="AH109" i="89"/>
  <c r="AH108" i="89"/>
  <c r="AH110" i="89"/>
  <c r="AH112" i="89"/>
  <c r="AH114" i="89"/>
  <c r="AH117" i="89"/>
  <c r="AH121" i="89"/>
  <c r="AH132" i="89"/>
  <c r="AH133" i="89"/>
  <c r="AH122" i="89"/>
  <c r="AH123" i="89"/>
  <c r="AH125" i="89"/>
  <c r="AH147" i="89"/>
  <c r="AI47" i="89"/>
  <c r="AI94" i="89"/>
  <c r="AI95" i="89"/>
  <c r="AI96" i="89"/>
  <c r="AI97" i="89"/>
  <c r="AI98" i="89"/>
  <c r="AI99" i="89"/>
  <c r="AI100" i="89"/>
  <c r="AI101" i="89"/>
  <c r="AI102" i="89"/>
  <c r="AI103" i="89"/>
  <c r="AI104" i="89"/>
  <c r="AI105" i="89"/>
  <c r="AI134" i="89"/>
  <c r="AI106" i="89"/>
  <c r="AI107" i="89"/>
  <c r="AI109" i="89"/>
  <c r="AI108" i="89"/>
  <c r="AI110" i="89"/>
  <c r="AI112" i="89"/>
  <c r="AI114" i="89"/>
  <c r="AI117" i="89"/>
  <c r="AI121" i="89"/>
  <c r="AI132" i="89"/>
  <c r="AI133" i="89"/>
  <c r="AI122" i="89"/>
  <c r="AI123" i="89"/>
  <c r="AI125" i="89"/>
  <c r="AI147" i="89"/>
  <c r="E147" i="89"/>
  <c r="C147" i="89"/>
  <c r="C15" i="169"/>
  <c r="D15" i="169"/>
  <c r="H4" i="172"/>
  <c r="B146" i="89"/>
  <c r="E146" i="89"/>
  <c r="F146" i="89"/>
  <c r="G146" i="89"/>
  <c r="H146" i="89"/>
  <c r="I146" i="89"/>
  <c r="J146" i="89"/>
  <c r="K146" i="89"/>
  <c r="L146" i="89"/>
  <c r="M146" i="89"/>
  <c r="N146" i="89"/>
  <c r="O146" i="89"/>
  <c r="P146" i="89"/>
  <c r="Q146" i="89"/>
  <c r="R146" i="89"/>
  <c r="S146" i="89"/>
  <c r="T146" i="89"/>
  <c r="U146" i="89"/>
  <c r="V146" i="89"/>
  <c r="W146" i="89"/>
  <c r="X146" i="89"/>
  <c r="Y146" i="89"/>
  <c r="Z146" i="89"/>
  <c r="AA146" i="89"/>
  <c r="AB146" i="89"/>
  <c r="AC146" i="89"/>
  <c r="AD146" i="89"/>
  <c r="AE146" i="89"/>
  <c r="AF146" i="89"/>
  <c r="AG146" i="89"/>
  <c r="AH146" i="89"/>
  <c r="AI146" i="89"/>
  <c r="C146" i="89"/>
  <c r="C14" i="169"/>
  <c r="D14" i="169"/>
  <c r="G4" i="172"/>
  <c r="F89" i="169"/>
  <c r="G89" i="169"/>
  <c r="H89" i="169"/>
  <c r="I89" i="169"/>
  <c r="J89" i="169"/>
  <c r="K89" i="169"/>
  <c r="L89" i="169"/>
  <c r="M89" i="169"/>
  <c r="N89" i="169"/>
  <c r="O89" i="169"/>
  <c r="P89" i="169"/>
  <c r="Q89" i="169"/>
  <c r="R89" i="169"/>
  <c r="S89" i="169"/>
  <c r="T89" i="169"/>
  <c r="U89" i="169"/>
  <c r="V89" i="169"/>
  <c r="W89" i="169"/>
  <c r="X89" i="169"/>
  <c r="Y89" i="169"/>
  <c r="Z89" i="169"/>
  <c r="AA89" i="169"/>
  <c r="AB89" i="169"/>
  <c r="AC89" i="169"/>
  <c r="AD89" i="169"/>
  <c r="AE89" i="169"/>
  <c r="AF89" i="169"/>
  <c r="AG89" i="169"/>
  <c r="AH89" i="169"/>
  <c r="AI89" i="169"/>
  <c r="E89" i="169"/>
  <c r="B89" i="169"/>
  <c r="A89" i="169"/>
  <c r="F68" i="169"/>
  <c r="G68" i="169"/>
  <c r="H68" i="169"/>
  <c r="I68" i="169"/>
  <c r="J68" i="169"/>
  <c r="K68" i="169"/>
  <c r="L68" i="169"/>
  <c r="M68" i="169"/>
  <c r="N68" i="169"/>
  <c r="O68" i="169"/>
  <c r="P68" i="169"/>
  <c r="Q68" i="169"/>
  <c r="R68" i="169"/>
  <c r="S68" i="169"/>
  <c r="T68" i="169"/>
  <c r="U68" i="169"/>
  <c r="V68" i="169"/>
  <c r="W68" i="169"/>
  <c r="X68" i="169"/>
  <c r="Y68" i="169"/>
  <c r="Z68" i="169"/>
  <c r="AA68" i="169"/>
  <c r="AB68" i="169"/>
  <c r="AC68" i="169"/>
  <c r="AD68" i="169"/>
  <c r="AE68" i="169"/>
  <c r="AF68" i="169"/>
  <c r="AG68" i="169"/>
  <c r="AH68" i="169"/>
  <c r="AI68" i="169"/>
  <c r="E68" i="169"/>
  <c r="B68" i="169"/>
  <c r="A68" i="169"/>
  <c r="F47" i="169"/>
  <c r="G47" i="169"/>
  <c r="H47" i="169"/>
  <c r="I47" i="169"/>
  <c r="J47" i="169"/>
  <c r="K47" i="169"/>
  <c r="L47" i="169"/>
  <c r="M47" i="169"/>
  <c r="N47" i="169"/>
  <c r="O47" i="169"/>
  <c r="P47" i="169"/>
  <c r="Q47" i="169"/>
  <c r="R47" i="169"/>
  <c r="S47" i="169"/>
  <c r="T47" i="169"/>
  <c r="U47" i="169"/>
  <c r="V47" i="169"/>
  <c r="W47" i="169"/>
  <c r="X47" i="169"/>
  <c r="Y47" i="169"/>
  <c r="Z47" i="169"/>
  <c r="AA47" i="169"/>
  <c r="AB47" i="169"/>
  <c r="AC47" i="169"/>
  <c r="AD47" i="169"/>
  <c r="AE47" i="169"/>
  <c r="AF47" i="169"/>
  <c r="AG47" i="169"/>
  <c r="AH47" i="169"/>
  <c r="AI47" i="169"/>
  <c r="E47" i="169"/>
  <c r="B47" i="169"/>
  <c r="A47" i="169"/>
  <c r="A25" i="169"/>
  <c r="G26" i="169"/>
  <c r="H26" i="169"/>
  <c r="I26" i="169"/>
  <c r="J26" i="169"/>
  <c r="K26" i="169"/>
  <c r="L26" i="169"/>
  <c r="M26" i="169"/>
  <c r="N26" i="169"/>
  <c r="O26" i="169"/>
  <c r="P26" i="169"/>
  <c r="Q26" i="169"/>
  <c r="R26" i="169"/>
  <c r="S26" i="169"/>
  <c r="T26" i="169"/>
  <c r="U26" i="169"/>
  <c r="V26" i="169"/>
  <c r="W26" i="169"/>
  <c r="X26" i="169"/>
  <c r="Y26" i="169"/>
  <c r="Z26" i="169"/>
  <c r="AA26" i="169"/>
  <c r="AB26" i="169"/>
  <c r="AC26" i="169"/>
  <c r="AD26" i="169"/>
  <c r="AE26" i="169"/>
  <c r="AF26" i="169"/>
  <c r="AG26" i="169"/>
  <c r="AH26" i="169"/>
  <c r="AI26" i="169"/>
  <c r="F26" i="169"/>
  <c r="E26" i="169"/>
  <c r="B26" i="169"/>
  <c r="A26" i="169"/>
  <c r="B154" i="89"/>
  <c r="B37" i="89"/>
  <c r="E143" i="89"/>
  <c r="G31" i="89"/>
  <c r="G32" i="89"/>
  <c r="I31" i="89"/>
  <c r="I32" i="89"/>
  <c r="E144" i="89"/>
  <c r="E154" i="89"/>
  <c r="F143" i="89"/>
  <c r="F144" i="89"/>
  <c r="F154" i="89"/>
  <c r="G143" i="89"/>
  <c r="G144" i="89"/>
  <c r="G154" i="89"/>
  <c r="H143" i="89"/>
  <c r="H144" i="89"/>
  <c r="H154" i="89"/>
  <c r="I143" i="89"/>
  <c r="I144" i="89"/>
  <c r="I154" i="89"/>
  <c r="J143" i="89"/>
  <c r="J144" i="89"/>
  <c r="J154" i="89"/>
  <c r="K143" i="89"/>
  <c r="K144" i="89"/>
  <c r="K154" i="89"/>
  <c r="L143" i="89"/>
  <c r="L144" i="89"/>
  <c r="L154" i="89"/>
  <c r="M143" i="89"/>
  <c r="M144" i="89"/>
  <c r="M154" i="89"/>
  <c r="N143" i="89"/>
  <c r="N144" i="89"/>
  <c r="N154" i="89"/>
  <c r="O143" i="89"/>
  <c r="O144" i="89"/>
  <c r="O154" i="89"/>
  <c r="P143" i="89"/>
  <c r="P144" i="89"/>
  <c r="P154" i="89"/>
  <c r="Q143" i="89"/>
  <c r="Q144" i="89"/>
  <c r="Q154" i="89"/>
  <c r="R143" i="89"/>
  <c r="R144" i="89"/>
  <c r="R154" i="89"/>
  <c r="S143" i="89"/>
  <c r="S144" i="89"/>
  <c r="S154" i="89"/>
  <c r="T143" i="89"/>
  <c r="T144" i="89"/>
  <c r="T154" i="89"/>
  <c r="U143" i="89"/>
  <c r="U144" i="89"/>
  <c r="U154" i="89"/>
  <c r="V143" i="89"/>
  <c r="V144" i="89"/>
  <c r="V154" i="89"/>
  <c r="W143" i="89"/>
  <c r="W144" i="89"/>
  <c r="W154" i="89"/>
  <c r="X143" i="89"/>
  <c r="X144" i="89"/>
  <c r="X154" i="89"/>
  <c r="Y143" i="89"/>
  <c r="Y144" i="89"/>
  <c r="Y154" i="89"/>
  <c r="Z143" i="89"/>
  <c r="Z144" i="89"/>
  <c r="Z154" i="89"/>
  <c r="AA143" i="89"/>
  <c r="AA144" i="89"/>
  <c r="AA154" i="89"/>
  <c r="AB143" i="89"/>
  <c r="AB144" i="89"/>
  <c r="AB154" i="89"/>
  <c r="AC143" i="89"/>
  <c r="AC144" i="89"/>
  <c r="AC154" i="89"/>
  <c r="AD143" i="89"/>
  <c r="AD144" i="89"/>
  <c r="AD154" i="89"/>
  <c r="AE143" i="89"/>
  <c r="AE144" i="89"/>
  <c r="AE154" i="89"/>
  <c r="AF143" i="89"/>
  <c r="AF144" i="89"/>
  <c r="AF154" i="89"/>
  <c r="AG143" i="89"/>
  <c r="AG144" i="89"/>
  <c r="AG154" i="89"/>
  <c r="AH143" i="89"/>
  <c r="AH144" i="89"/>
  <c r="AH154" i="89"/>
  <c r="AI143" i="89"/>
  <c r="AI144" i="89"/>
  <c r="AI154" i="89"/>
  <c r="C154" i="89"/>
  <c r="C22" i="169"/>
  <c r="I4" i="172"/>
  <c r="C157" i="168"/>
  <c r="C88" i="169"/>
  <c r="B153" i="168"/>
  <c r="E148" i="168"/>
  <c r="E149" i="168"/>
  <c r="E150" i="168"/>
  <c r="E153" i="168"/>
  <c r="F148" i="168"/>
  <c r="F149" i="168"/>
  <c r="F150" i="168"/>
  <c r="F153" i="168"/>
  <c r="G148" i="168"/>
  <c r="G149" i="168"/>
  <c r="G150" i="168"/>
  <c r="G153" i="168"/>
  <c r="H148" i="168"/>
  <c r="H149" i="168"/>
  <c r="H150" i="168"/>
  <c r="H153" i="168"/>
  <c r="I148" i="168"/>
  <c r="I149" i="168"/>
  <c r="I150" i="168"/>
  <c r="I153" i="168"/>
  <c r="J148" i="168"/>
  <c r="J149" i="168"/>
  <c r="J150" i="168"/>
  <c r="J153" i="168"/>
  <c r="K148" i="168"/>
  <c r="K149" i="168"/>
  <c r="K150" i="168"/>
  <c r="K153" i="168"/>
  <c r="L148" i="168"/>
  <c r="L149" i="168"/>
  <c r="L150" i="168"/>
  <c r="L153" i="168"/>
  <c r="M148" i="168"/>
  <c r="M149" i="168"/>
  <c r="M150" i="168"/>
  <c r="M153" i="168"/>
  <c r="N148" i="168"/>
  <c r="N149" i="168"/>
  <c r="N150" i="168"/>
  <c r="N153" i="168"/>
  <c r="O148" i="168"/>
  <c r="O149" i="168"/>
  <c r="O150" i="168"/>
  <c r="O153" i="168"/>
  <c r="P148" i="168"/>
  <c r="P149" i="168"/>
  <c r="P150" i="168"/>
  <c r="P153" i="168"/>
  <c r="Q148" i="168"/>
  <c r="Q149" i="168"/>
  <c r="Q150" i="168"/>
  <c r="Q153" i="168"/>
  <c r="R148" i="168"/>
  <c r="R149" i="168"/>
  <c r="R150" i="168"/>
  <c r="R153" i="168"/>
  <c r="S148" i="168"/>
  <c r="S149" i="168"/>
  <c r="S150" i="168"/>
  <c r="S153" i="168"/>
  <c r="T148" i="168"/>
  <c r="T149" i="168"/>
  <c r="T150" i="168"/>
  <c r="T153" i="168"/>
  <c r="U148" i="168"/>
  <c r="U149" i="168"/>
  <c r="U150" i="168"/>
  <c r="U153" i="168"/>
  <c r="V148" i="168"/>
  <c r="V149" i="168"/>
  <c r="V150" i="168"/>
  <c r="V153" i="168"/>
  <c r="W148" i="168"/>
  <c r="W149" i="168"/>
  <c r="W150" i="168"/>
  <c r="W153" i="168"/>
  <c r="X148" i="168"/>
  <c r="X149" i="168"/>
  <c r="X150" i="168"/>
  <c r="X153" i="168"/>
  <c r="Y148" i="168"/>
  <c r="Y149" i="168"/>
  <c r="Y150" i="168"/>
  <c r="Y153" i="168"/>
  <c r="Z148" i="168"/>
  <c r="Z149" i="168"/>
  <c r="Z150" i="168"/>
  <c r="Z153" i="168"/>
  <c r="AA148" i="168"/>
  <c r="AA149" i="168"/>
  <c r="AA150" i="168"/>
  <c r="AA153" i="168"/>
  <c r="AB148" i="168"/>
  <c r="AB149" i="168"/>
  <c r="AB150" i="168"/>
  <c r="AB153" i="168"/>
  <c r="AC148" i="168"/>
  <c r="AC149" i="168"/>
  <c r="AC150" i="168"/>
  <c r="AC153" i="168"/>
  <c r="AD148" i="168"/>
  <c r="AD149" i="168"/>
  <c r="AD150" i="168"/>
  <c r="AD153" i="168"/>
  <c r="AE148" i="168"/>
  <c r="AE149" i="168"/>
  <c r="AE150" i="168"/>
  <c r="AE153" i="168"/>
  <c r="AF148" i="168"/>
  <c r="AF149" i="168"/>
  <c r="AF150" i="168"/>
  <c r="AF153" i="168"/>
  <c r="AG148" i="168"/>
  <c r="AG149" i="168"/>
  <c r="AG150" i="168"/>
  <c r="AG153" i="168"/>
  <c r="AH148" i="168"/>
  <c r="AH149" i="168"/>
  <c r="AH150" i="168"/>
  <c r="AH153" i="168"/>
  <c r="AI148" i="168"/>
  <c r="AI149" i="168"/>
  <c r="AI150" i="168"/>
  <c r="AI153" i="168"/>
  <c r="C153" i="168"/>
  <c r="C84" i="169"/>
  <c r="C157" i="167"/>
  <c r="C67" i="169"/>
  <c r="B153" i="167"/>
  <c r="E148" i="167"/>
  <c r="E149" i="167"/>
  <c r="E150" i="167"/>
  <c r="E153" i="167"/>
  <c r="F148" i="167"/>
  <c r="F149" i="167"/>
  <c r="F150" i="167"/>
  <c r="F153" i="167"/>
  <c r="G148" i="167"/>
  <c r="G149" i="167"/>
  <c r="G150" i="167"/>
  <c r="G153" i="167"/>
  <c r="H148" i="167"/>
  <c r="H149" i="167"/>
  <c r="H150" i="167"/>
  <c r="H153" i="167"/>
  <c r="I148" i="167"/>
  <c r="I149" i="167"/>
  <c r="I150" i="167"/>
  <c r="I153" i="167"/>
  <c r="J148" i="167"/>
  <c r="J149" i="167"/>
  <c r="J150" i="167"/>
  <c r="J153" i="167"/>
  <c r="K148" i="167"/>
  <c r="K149" i="167"/>
  <c r="K150" i="167"/>
  <c r="K153" i="167"/>
  <c r="L148" i="167"/>
  <c r="L149" i="167"/>
  <c r="L150" i="167"/>
  <c r="L153" i="167"/>
  <c r="M148" i="167"/>
  <c r="M149" i="167"/>
  <c r="M150" i="167"/>
  <c r="M153" i="167"/>
  <c r="N148" i="167"/>
  <c r="N149" i="167"/>
  <c r="N150" i="167"/>
  <c r="N153" i="167"/>
  <c r="O148" i="167"/>
  <c r="O149" i="167"/>
  <c r="O150" i="167"/>
  <c r="O153" i="167"/>
  <c r="P148" i="167"/>
  <c r="P149" i="167"/>
  <c r="P150" i="167"/>
  <c r="P153" i="167"/>
  <c r="Q148" i="167"/>
  <c r="Q149" i="167"/>
  <c r="Q150" i="167"/>
  <c r="Q153" i="167"/>
  <c r="R148" i="167"/>
  <c r="R149" i="167"/>
  <c r="R150" i="167"/>
  <c r="R153" i="167"/>
  <c r="S148" i="167"/>
  <c r="S149" i="167"/>
  <c r="S150" i="167"/>
  <c r="S153" i="167"/>
  <c r="T148" i="167"/>
  <c r="T149" i="167"/>
  <c r="T150" i="167"/>
  <c r="T153" i="167"/>
  <c r="U148" i="167"/>
  <c r="U149" i="167"/>
  <c r="U150" i="167"/>
  <c r="U153" i="167"/>
  <c r="V148" i="167"/>
  <c r="V149" i="167"/>
  <c r="V150" i="167"/>
  <c r="V153" i="167"/>
  <c r="W148" i="167"/>
  <c r="W149" i="167"/>
  <c r="W150" i="167"/>
  <c r="W153" i="167"/>
  <c r="X148" i="167"/>
  <c r="X149" i="167"/>
  <c r="X150" i="167"/>
  <c r="X153" i="167"/>
  <c r="Y148" i="167"/>
  <c r="Y149" i="167"/>
  <c r="Y150" i="167"/>
  <c r="Y153" i="167"/>
  <c r="Z148" i="167"/>
  <c r="Z149" i="167"/>
  <c r="Z150" i="167"/>
  <c r="Z153" i="167"/>
  <c r="AA148" i="167"/>
  <c r="AA149" i="167"/>
  <c r="AA150" i="167"/>
  <c r="AA153" i="167"/>
  <c r="AB148" i="167"/>
  <c r="AB149" i="167"/>
  <c r="AB150" i="167"/>
  <c r="AB153" i="167"/>
  <c r="AC148" i="167"/>
  <c r="AC149" i="167"/>
  <c r="AC150" i="167"/>
  <c r="AC153" i="167"/>
  <c r="AD148" i="167"/>
  <c r="AD149" i="167"/>
  <c r="AD150" i="167"/>
  <c r="AD153" i="167"/>
  <c r="AE148" i="167"/>
  <c r="AE149" i="167"/>
  <c r="AE150" i="167"/>
  <c r="AE153" i="167"/>
  <c r="AF148" i="167"/>
  <c r="AF149" i="167"/>
  <c r="AF150" i="167"/>
  <c r="AF153" i="167"/>
  <c r="AG148" i="167"/>
  <c r="AG149" i="167"/>
  <c r="AG150" i="167"/>
  <c r="AG153" i="167"/>
  <c r="AH148" i="167"/>
  <c r="AH149" i="167"/>
  <c r="AH150" i="167"/>
  <c r="AH153" i="167"/>
  <c r="AI148" i="167"/>
  <c r="AI149" i="167"/>
  <c r="AI150" i="167"/>
  <c r="AI153" i="167"/>
  <c r="C153" i="167"/>
  <c r="C63" i="169"/>
  <c r="C157" i="166"/>
  <c r="C46" i="169"/>
  <c r="B153" i="166"/>
  <c r="E148" i="166"/>
  <c r="E149" i="166"/>
  <c r="E150" i="166"/>
  <c r="E153" i="166"/>
  <c r="F148" i="166"/>
  <c r="F149" i="166"/>
  <c r="F150" i="166"/>
  <c r="F153" i="166"/>
  <c r="G148" i="166"/>
  <c r="G149" i="166"/>
  <c r="G150" i="166"/>
  <c r="G153" i="166"/>
  <c r="H148" i="166"/>
  <c r="H149" i="166"/>
  <c r="H150" i="166"/>
  <c r="H153" i="166"/>
  <c r="I148" i="166"/>
  <c r="I149" i="166"/>
  <c r="I150" i="166"/>
  <c r="I153" i="166"/>
  <c r="J148" i="166"/>
  <c r="J149" i="166"/>
  <c r="J150" i="166"/>
  <c r="J153" i="166"/>
  <c r="K148" i="166"/>
  <c r="K149" i="166"/>
  <c r="K150" i="166"/>
  <c r="K153" i="166"/>
  <c r="L148" i="166"/>
  <c r="L149" i="166"/>
  <c r="L150" i="166"/>
  <c r="L153" i="166"/>
  <c r="M148" i="166"/>
  <c r="M149" i="166"/>
  <c r="M150" i="166"/>
  <c r="M153" i="166"/>
  <c r="N148" i="166"/>
  <c r="N149" i="166"/>
  <c r="N150" i="166"/>
  <c r="N153" i="166"/>
  <c r="O148" i="166"/>
  <c r="O149" i="166"/>
  <c r="O150" i="166"/>
  <c r="O153" i="166"/>
  <c r="P148" i="166"/>
  <c r="P149" i="166"/>
  <c r="P150" i="166"/>
  <c r="P153" i="166"/>
  <c r="Q148" i="166"/>
  <c r="Q149" i="166"/>
  <c r="Q150" i="166"/>
  <c r="Q153" i="166"/>
  <c r="R148" i="166"/>
  <c r="R149" i="166"/>
  <c r="R150" i="166"/>
  <c r="R153" i="166"/>
  <c r="S148" i="166"/>
  <c r="S149" i="166"/>
  <c r="S150" i="166"/>
  <c r="S153" i="166"/>
  <c r="T148" i="166"/>
  <c r="T149" i="166"/>
  <c r="T150" i="166"/>
  <c r="T153" i="166"/>
  <c r="U148" i="166"/>
  <c r="U149" i="166"/>
  <c r="U150" i="166"/>
  <c r="U153" i="166"/>
  <c r="V148" i="166"/>
  <c r="V149" i="166"/>
  <c r="V150" i="166"/>
  <c r="V153" i="166"/>
  <c r="W148" i="166"/>
  <c r="W149" i="166"/>
  <c r="W150" i="166"/>
  <c r="W153" i="166"/>
  <c r="X148" i="166"/>
  <c r="X149" i="166"/>
  <c r="X150" i="166"/>
  <c r="X153" i="166"/>
  <c r="Y148" i="166"/>
  <c r="Y149" i="166"/>
  <c r="Y150" i="166"/>
  <c r="Y153" i="166"/>
  <c r="Z148" i="166"/>
  <c r="Z149" i="166"/>
  <c r="Z150" i="166"/>
  <c r="Z153" i="166"/>
  <c r="AA148" i="166"/>
  <c r="AA149" i="166"/>
  <c r="AA150" i="166"/>
  <c r="AA153" i="166"/>
  <c r="AB148" i="166"/>
  <c r="AB149" i="166"/>
  <c r="AB150" i="166"/>
  <c r="AB153" i="166"/>
  <c r="AC148" i="166"/>
  <c r="AC149" i="166"/>
  <c r="AC150" i="166"/>
  <c r="AC153" i="166"/>
  <c r="AD148" i="166"/>
  <c r="AD149" i="166"/>
  <c r="AD150" i="166"/>
  <c r="AD153" i="166"/>
  <c r="AE148" i="166"/>
  <c r="AE149" i="166"/>
  <c r="AE150" i="166"/>
  <c r="AE153" i="166"/>
  <c r="AF148" i="166"/>
  <c r="AF149" i="166"/>
  <c r="AF150" i="166"/>
  <c r="AF153" i="166"/>
  <c r="AG148" i="166"/>
  <c r="AG149" i="166"/>
  <c r="AG150" i="166"/>
  <c r="AG153" i="166"/>
  <c r="AH148" i="166"/>
  <c r="AH149" i="166"/>
  <c r="AH150" i="166"/>
  <c r="AH153" i="166"/>
  <c r="AI148" i="166"/>
  <c r="AI149" i="166"/>
  <c r="AI150" i="166"/>
  <c r="AI153" i="166"/>
  <c r="C153" i="166"/>
  <c r="C42" i="169"/>
  <c r="C157" i="89"/>
  <c r="C25" i="169"/>
  <c r="C152" i="166"/>
  <c r="C152" i="167"/>
  <c r="C152" i="168"/>
  <c r="E148" i="89"/>
  <c r="E149" i="89"/>
  <c r="E150" i="89"/>
  <c r="E153" i="89"/>
  <c r="B153" i="89"/>
  <c r="F148" i="89"/>
  <c r="F149" i="89"/>
  <c r="F150" i="89"/>
  <c r="F153" i="89"/>
  <c r="G148" i="89"/>
  <c r="G149" i="89"/>
  <c r="G150" i="89"/>
  <c r="G153" i="89"/>
  <c r="H148" i="89"/>
  <c r="H149" i="89"/>
  <c r="H150" i="89"/>
  <c r="H153" i="89"/>
  <c r="I148" i="89"/>
  <c r="I149" i="89"/>
  <c r="I150" i="89"/>
  <c r="I153" i="89"/>
  <c r="J148" i="89"/>
  <c r="J149" i="89"/>
  <c r="J150" i="89"/>
  <c r="J153" i="89"/>
  <c r="K148" i="89"/>
  <c r="K149" i="89"/>
  <c r="K150" i="89"/>
  <c r="K153" i="89"/>
  <c r="L148" i="89"/>
  <c r="L149" i="89"/>
  <c r="L150" i="89"/>
  <c r="L153" i="89"/>
  <c r="M148" i="89"/>
  <c r="M149" i="89"/>
  <c r="M150" i="89"/>
  <c r="M153" i="89"/>
  <c r="N148" i="89"/>
  <c r="N149" i="89"/>
  <c r="N150" i="89"/>
  <c r="N153" i="89"/>
  <c r="O148" i="89"/>
  <c r="O149" i="89"/>
  <c r="O150" i="89"/>
  <c r="O153" i="89"/>
  <c r="P148" i="89"/>
  <c r="P149" i="89"/>
  <c r="P150" i="89"/>
  <c r="P153" i="89"/>
  <c r="Q148" i="89"/>
  <c r="Q149" i="89"/>
  <c r="Q150" i="89"/>
  <c r="Q153" i="89"/>
  <c r="R148" i="89"/>
  <c r="R149" i="89"/>
  <c r="R150" i="89"/>
  <c r="R153" i="89"/>
  <c r="S148" i="89"/>
  <c r="S149" i="89"/>
  <c r="S150" i="89"/>
  <c r="S153" i="89"/>
  <c r="T148" i="89"/>
  <c r="T149" i="89"/>
  <c r="T150" i="89"/>
  <c r="T153" i="89"/>
  <c r="U148" i="89"/>
  <c r="U149" i="89"/>
  <c r="U150" i="89"/>
  <c r="U153" i="89"/>
  <c r="V148" i="89"/>
  <c r="V149" i="89"/>
  <c r="V150" i="89"/>
  <c r="V153" i="89"/>
  <c r="W148" i="89"/>
  <c r="W149" i="89"/>
  <c r="W150" i="89"/>
  <c r="W153" i="89"/>
  <c r="X148" i="89"/>
  <c r="X149" i="89"/>
  <c r="X150" i="89"/>
  <c r="X153" i="89"/>
  <c r="Y148" i="89"/>
  <c r="Y149" i="89"/>
  <c r="Y150" i="89"/>
  <c r="Y153" i="89"/>
  <c r="Z148" i="89"/>
  <c r="Z149" i="89"/>
  <c r="Z150" i="89"/>
  <c r="Z153" i="89"/>
  <c r="AA148" i="89"/>
  <c r="AA149" i="89"/>
  <c r="AA150" i="89"/>
  <c r="AA153" i="89"/>
  <c r="AB148" i="89"/>
  <c r="AB149" i="89"/>
  <c r="AB150" i="89"/>
  <c r="AB153" i="89"/>
  <c r="AC148" i="89"/>
  <c r="AC149" i="89"/>
  <c r="AC150" i="89"/>
  <c r="AC153" i="89"/>
  <c r="AD148" i="89"/>
  <c r="AD149" i="89"/>
  <c r="AD150" i="89"/>
  <c r="AD153" i="89"/>
  <c r="AE148" i="89"/>
  <c r="AE149" i="89"/>
  <c r="AE150" i="89"/>
  <c r="AE153" i="89"/>
  <c r="AF148" i="89"/>
  <c r="AF149" i="89"/>
  <c r="AF150" i="89"/>
  <c r="AF153" i="89"/>
  <c r="AG148" i="89"/>
  <c r="AG149" i="89"/>
  <c r="AG150" i="89"/>
  <c r="AG153" i="89"/>
  <c r="AH148" i="89"/>
  <c r="AH149" i="89"/>
  <c r="AH150" i="89"/>
  <c r="AH153" i="89"/>
  <c r="AI148" i="89"/>
  <c r="AI149" i="89"/>
  <c r="AI150" i="89"/>
  <c r="AI153" i="89"/>
  <c r="C153" i="89"/>
  <c r="C152" i="89"/>
  <c r="H13" i="28"/>
  <c r="G12" i="168"/>
  <c r="G11" i="168"/>
  <c r="I27" i="167"/>
  <c r="I27" i="168"/>
  <c r="I27" i="89"/>
  <c r="I25" i="167"/>
  <c r="I25" i="168"/>
  <c r="I25" i="89"/>
  <c r="B8" i="166"/>
  <c r="B8" i="167"/>
  <c r="B8" i="168"/>
  <c r="B8" i="89"/>
  <c r="AI67" i="169"/>
  <c r="AH67" i="169"/>
  <c r="AG67" i="169"/>
  <c r="AF67" i="169"/>
  <c r="AE67" i="169"/>
  <c r="AD67" i="169"/>
  <c r="AC67" i="169"/>
  <c r="AB67" i="169"/>
  <c r="AA67" i="169"/>
  <c r="Z67" i="169"/>
  <c r="Y67" i="169"/>
  <c r="X67" i="169"/>
  <c r="W67" i="169"/>
  <c r="V67" i="169"/>
  <c r="U67" i="169"/>
  <c r="T67" i="169"/>
  <c r="S67" i="169"/>
  <c r="R67" i="169"/>
  <c r="Q67" i="169"/>
  <c r="P67" i="169"/>
  <c r="O67" i="169"/>
  <c r="N67" i="169"/>
  <c r="M67" i="169"/>
  <c r="L67" i="169"/>
  <c r="K67" i="169"/>
  <c r="J67" i="169"/>
  <c r="I67" i="169"/>
  <c r="H67" i="169"/>
  <c r="G67" i="169"/>
  <c r="F67" i="169"/>
  <c r="E67" i="169"/>
  <c r="B67" i="169"/>
  <c r="A67" i="169"/>
  <c r="B66" i="169"/>
  <c r="A66" i="169"/>
  <c r="B65" i="169"/>
  <c r="A65" i="169"/>
  <c r="A64" i="169"/>
  <c r="A63" i="169"/>
  <c r="A62" i="169"/>
  <c r="AI88" i="169"/>
  <c r="AH88" i="169"/>
  <c r="AG88" i="169"/>
  <c r="AF88" i="169"/>
  <c r="AE88" i="169"/>
  <c r="AD88" i="169"/>
  <c r="AC88" i="169"/>
  <c r="AB88" i="169"/>
  <c r="AA88" i="169"/>
  <c r="Z88" i="169"/>
  <c r="Y88" i="169"/>
  <c r="X88" i="169"/>
  <c r="W88" i="169"/>
  <c r="V88" i="169"/>
  <c r="U88" i="169"/>
  <c r="T88" i="169"/>
  <c r="S88" i="169"/>
  <c r="R88" i="169"/>
  <c r="Q88" i="169"/>
  <c r="P88" i="169"/>
  <c r="O88" i="169"/>
  <c r="N88" i="169"/>
  <c r="M88" i="169"/>
  <c r="L88" i="169"/>
  <c r="K88" i="169"/>
  <c r="J88" i="169"/>
  <c r="I88" i="169"/>
  <c r="H88" i="169"/>
  <c r="G88" i="169"/>
  <c r="F88" i="169"/>
  <c r="E88" i="169"/>
  <c r="B88" i="169"/>
  <c r="A88" i="169"/>
  <c r="B87" i="169"/>
  <c r="A87" i="169"/>
  <c r="B86" i="169"/>
  <c r="A86" i="169"/>
  <c r="A85" i="169"/>
  <c r="A84" i="169"/>
  <c r="A83" i="169"/>
  <c r="AI46" i="169"/>
  <c r="AH46" i="169"/>
  <c r="AG46" i="169"/>
  <c r="AF46" i="169"/>
  <c r="AE46" i="169"/>
  <c r="AD46" i="169"/>
  <c r="AC46" i="169"/>
  <c r="AB46" i="169"/>
  <c r="AA46" i="169"/>
  <c r="Z46" i="169"/>
  <c r="Y46" i="169"/>
  <c r="X46" i="169"/>
  <c r="W46" i="169"/>
  <c r="V46" i="169"/>
  <c r="U46" i="169"/>
  <c r="T46" i="169"/>
  <c r="S46" i="169"/>
  <c r="R46" i="169"/>
  <c r="Q46" i="169"/>
  <c r="P46" i="169"/>
  <c r="O46" i="169"/>
  <c r="N46" i="169"/>
  <c r="M46" i="169"/>
  <c r="L46" i="169"/>
  <c r="K46" i="169"/>
  <c r="J46" i="169"/>
  <c r="I46" i="169"/>
  <c r="H46" i="169"/>
  <c r="G46" i="169"/>
  <c r="F46" i="169"/>
  <c r="E46" i="169"/>
  <c r="B46" i="169"/>
  <c r="A46" i="169"/>
  <c r="B45" i="169"/>
  <c r="A45" i="169"/>
  <c r="B44" i="169"/>
  <c r="A44" i="169"/>
  <c r="A43" i="169"/>
  <c r="A42" i="169"/>
  <c r="A41" i="169"/>
  <c r="B25" i="169"/>
  <c r="B24" i="169"/>
  <c r="B23" i="169"/>
  <c r="A20" i="169"/>
  <c r="AI25" i="169"/>
  <c r="AH25" i="169"/>
  <c r="AG25" i="169"/>
  <c r="AF25" i="169"/>
  <c r="AE25" i="169"/>
  <c r="AD25" i="169"/>
  <c r="AC25" i="169"/>
  <c r="AB25" i="169"/>
  <c r="AA25" i="169"/>
  <c r="Z25" i="169"/>
  <c r="Y25" i="169"/>
  <c r="X25" i="169"/>
  <c r="W25" i="169"/>
  <c r="V25" i="169"/>
  <c r="U25" i="169"/>
  <c r="T25" i="169"/>
  <c r="S25" i="169"/>
  <c r="R25" i="169"/>
  <c r="Q25" i="169"/>
  <c r="P25" i="169"/>
  <c r="O25" i="169"/>
  <c r="N25" i="169"/>
  <c r="M25" i="169"/>
  <c r="L25" i="169"/>
  <c r="K25" i="169"/>
  <c r="J25" i="169"/>
  <c r="I25" i="169"/>
  <c r="H25" i="169"/>
  <c r="G25" i="169"/>
  <c r="F25" i="169"/>
  <c r="E25" i="169"/>
  <c r="A24" i="169"/>
  <c r="A23" i="169"/>
  <c r="A21" i="169"/>
  <c r="A22" i="169"/>
  <c r="B43" i="169"/>
  <c r="B64" i="169"/>
  <c r="B85" i="169"/>
  <c r="B22" i="169"/>
  <c r="B42" i="169"/>
  <c r="B63" i="169"/>
  <c r="B84" i="169"/>
  <c r="B21" i="169"/>
  <c r="F52" i="28"/>
  <c r="G21" i="168"/>
  <c r="A77" i="169"/>
  <c r="A78" i="169"/>
  <c r="A56" i="169"/>
  <c r="A35" i="169"/>
  <c r="A14" i="169"/>
  <c r="B143" i="166"/>
  <c r="B32" i="169"/>
  <c r="B144" i="166"/>
  <c r="B33" i="169"/>
  <c r="B35" i="169"/>
  <c r="B148" i="166"/>
  <c r="B37" i="169"/>
  <c r="B149" i="166"/>
  <c r="B38" i="169"/>
  <c r="B150" i="166"/>
  <c r="B39" i="169"/>
  <c r="B143" i="167"/>
  <c r="B53" i="169"/>
  <c r="B144" i="167"/>
  <c r="B54" i="169"/>
  <c r="B57" i="169"/>
  <c r="B148" i="167"/>
  <c r="B58" i="169"/>
  <c r="B149" i="167"/>
  <c r="B59" i="169"/>
  <c r="B150" i="167"/>
  <c r="B60" i="169"/>
  <c r="B143" i="168"/>
  <c r="B144" i="168"/>
  <c r="B148" i="168"/>
  <c r="B149" i="168"/>
  <c r="B150" i="168"/>
  <c r="B143" i="89"/>
  <c r="B11" i="169"/>
  <c r="B144" i="89"/>
  <c r="B14" i="169"/>
  <c r="B148" i="89"/>
  <c r="B149" i="89"/>
  <c r="B150" i="89"/>
  <c r="B52" i="169"/>
  <c r="A81" i="169"/>
  <c r="A80" i="169"/>
  <c r="A79" i="169"/>
  <c r="A76" i="169"/>
  <c r="A75" i="169"/>
  <c r="A74" i="169"/>
  <c r="A73" i="169"/>
  <c r="A72" i="169"/>
  <c r="A60" i="169"/>
  <c r="A59" i="169"/>
  <c r="A58" i="169"/>
  <c r="A57" i="169"/>
  <c r="A55" i="169"/>
  <c r="A54" i="169"/>
  <c r="A53" i="169"/>
  <c r="A52" i="169"/>
  <c r="A51" i="169"/>
  <c r="A39" i="169"/>
  <c r="A38" i="169"/>
  <c r="A37" i="169"/>
  <c r="A36" i="169"/>
  <c r="A34" i="169"/>
  <c r="A33" i="169"/>
  <c r="A32" i="169"/>
  <c r="A31" i="169"/>
  <c r="A30" i="169"/>
  <c r="A18" i="169"/>
  <c r="A17" i="169"/>
  <c r="A16" i="169"/>
  <c r="A15" i="169"/>
  <c r="A13" i="169"/>
  <c r="A12" i="169"/>
  <c r="A10" i="169"/>
  <c r="A11" i="169"/>
  <c r="A9" i="169"/>
  <c r="B75" i="169"/>
  <c r="B80" i="169"/>
  <c r="B81" i="169"/>
  <c r="B74" i="169"/>
  <c r="B79" i="169"/>
  <c r="B78" i="169"/>
  <c r="B12" i="169"/>
  <c r="B17" i="169"/>
  <c r="B18" i="169"/>
  <c r="B16" i="169"/>
  <c r="B15" i="169"/>
  <c r="B73" i="169"/>
  <c r="E81" i="169"/>
  <c r="E78" i="169"/>
  <c r="E60" i="169"/>
  <c r="E57" i="169"/>
  <c r="AH60" i="169"/>
  <c r="AE60" i="169"/>
  <c r="B17" i="167"/>
  <c r="A50" i="169"/>
  <c r="I26" i="167"/>
  <c r="AC18" i="168"/>
  <c r="E46" i="167"/>
  <c r="E47" i="167"/>
  <c r="E58" i="169"/>
  <c r="E53" i="169"/>
  <c r="AE81" i="169"/>
  <c r="AH81" i="169"/>
  <c r="AG81" i="169"/>
  <c r="AI81" i="169"/>
  <c r="AF81" i="169"/>
  <c r="K18" i="168"/>
  <c r="M18" i="168"/>
  <c r="Q18" i="168"/>
  <c r="Y18" i="168"/>
  <c r="Z18" i="168"/>
  <c r="G13" i="167"/>
  <c r="G13" i="168"/>
  <c r="R18" i="168"/>
  <c r="AD18" i="168"/>
  <c r="I26" i="168"/>
  <c r="AG60" i="169"/>
  <c r="A71" i="169"/>
  <c r="B17" i="168"/>
  <c r="S18" i="168"/>
  <c r="AG18" i="168"/>
  <c r="AF18" i="168"/>
  <c r="X18" i="168"/>
  <c r="P18" i="168"/>
  <c r="H18" i="168"/>
  <c r="AE18" i="168"/>
  <c r="W18" i="168"/>
  <c r="O18" i="168"/>
  <c r="G18" i="168"/>
  <c r="AJ18" i="168"/>
  <c r="AB18" i="168"/>
  <c r="T18" i="168"/>
  <c r="L18" i="168"/>
  <c r="U18" i="168"/>
  <c r="AH18" i="168"/>
  <c r="I18" i="168"/>
  <c r="AI60" i="169"/>
  <c r="J18" i="168"/>
  <c r="V18" i="168"/>
  <c r="AI18" i="168"/>
  <c r="N18" i="168"/>
  <c r="AA18" i="168"/>
  <c r="F131" i="167"/>
  <c r="AF60" i="169"/>
  <c r="E39" i="169"/>
  <c r="AI39" i="169"/>
  <c r="AG39" i="169"/>
  <c r="AF39" i="169"/>
  <c r="AE39" i="169"/>
  <c r="E18" i="169"/>
  <c r="E15" i="169"/>
  <c r="I30" i="167"/>
  <c r="B17" i="166"/>
  <c r="AH39" i="169"/>
  <c r="AB60" i="169"/>
  <c r="Z60" i="169"/>
  <c r="K60" i="169"/>
  <c r="F60" i="169"/>
  <c r="N60" i="169"/>
  <c r="W60" i="169"/>
  <c r="U60" i="169"/>
  <c r="AD60" i="169"/>
  <c r="AC60" i="169"/>
  <c r="G60" i="169"/>
  <c r="T60" i="169"/>
  <c r="X60" i="169"/>
  <c r="S60" i="169"/>
  <c r="P60" i="169"/>
  <c r="E46" i="168"/>
  <c r="E47" i="168"/>
  <c r="E79" i="169"/>
  <c r="E74" i="169"/>
  <c r="O60" i="169"/>
  <c r="I30" i="168"/>
  <c r="G20" i="168"/>
  <c r="E75" i="169"/>
  <c r="E80" i="169"/>
  <c r="F131" i="168"/>
  <c r="F7" i="172"/>
  <c r="E54" i="169"/>
  <c r="H60" i="169"/>
  <c r="F6" i="172"/>
  <c r="R60" i="169"/>
  <c r="M60" i="169"/>
  <c r="Q60" i="169"/>
  <c r="L60" i="169"/>
  <c r="AA60" i="169"/>
  <c r="V60" i="169"/>
  <c r="I60" i="169"/>
  <c r="A29" i="169"/>
  <c r="R14" i="169"/>
  <c r="P14" i="169"/>
  <c r="E14" i="169"/>
  <c r="L14" i="169"/>
  <c r="G14" i="169"/>
  <c r="V14" i="169"/>
  <c r="U14" i="169"/>
  <c r="AG14" i="169"/>
  <c r="AB14" i="169"/>
  <c r="AF14" i="169"/>
  <c r="AA14" i="169"/>
  <c r="X14" i="169"/>
  <c r="AD14" i="169"/>
  <c r="T14" i="169"/>
  <c r="W14" i="169"/>
  <c r="H14" i="169"/>
  <c r="N14" i="169"/>
  <c r="Y14" i="169"/>
  <c r="AH14" i="169"/>
  <c r="Q14" i="169"/>
  <c r="F14" i="169"/>
  <c r="O14" i="169"/>
  <c r="Z14" i="169"/>
  <c r="AE14" i="169"/>
  <c r="AC14" i="169"/>
  <c r="AI14" i="169"/>
  <c r="J14" i="169"/>
  <c r="M14" i="169"/>
  <c r="Y60" i="169"/>
  <c r="G13" i="166"/>
  <c r="AA81" i="169"/>
  <c r="J60" i="169"/>
  <c r="S14" i="169"/>
  <c r="K14" i="169"/>
  <c r="AD80" i="169"/>
  <c r="F131" i="166"/>
  <c r="AD81" i="169"/>
  <c r="L81" i="169"/>
  <c r="E59" i="169"/>
  <c r="Q81" i="169"/>
  <c r="R58" i="169"/>
  <c r="R53" i="169"/>
  <c r="L58" i="169"/>
  <c r="L53" i="169"/>
  <c r="G58" i="169"/>
  <c r="G53" i="169"/>
  <c r="Q58" i="169"/>
  <c r="Q53" i="169"/>
  <c r="I58" i="169"/>
  <c r="I53" i="169"/>
  <c r="O58" i="169"/>
  <c r="O53" i="169"/>
  <c r="J58" i="169"/>
  <c r="J53" i="169"/>
  <c r="P58" i="169"/>
  <c r="P53" i="169"/>
  <c r="H58" i="169"/>
  <c r="H53" i="169"/>
  <c r="E46" i="166"/>
  <c r="E47" i="166"/>
  <c r="K58" i="169"/>
  <c r="K53" i="169"/>
  <c r="M58" i="169"/>
  <c r="M53" i="169"/>
  <c r="Z81" i="169"/>
  <c r="E37" i="169"/>
  <c r="E32" i="169"/>
  <c r="N53" i="169"/>
  <c r="N58" i="169"/>
  <c r="AI80" i="169"/>
  <c r="Y75" i="169"/>
  <c r="X80" i="169"/>
  <c r="X75" i="169"/>
  <c r="T81" i="169"/>
  <c r="U81" i="169"/>
  <c r="Y80" i="169"/>
  <c r="X81" i="169"/>
  <c r="AB81" i="169"/>
  <c r="AE80" i="169"/>
  <c r="AE75" i="169"/>
  <c r="AD75" i="169"/>
  <c r="F81" i="169"/>
  <c r="AH80" i="169"/>
  <c r="AC80" i="169"/>
  <c r="AA80" i="169"/>
  <c r="AB75" i="169"/>
  <c r="AG80" i="169"/>
  <c r="R81" i="169"/>
  <c r="M81" i="169"/>
  <c r="AH75" i="169"/>
  <c r="AC75" i="169"/>
  <c r="AA75" i="169"/>
  <c r="AG75" i="169"/>
  <c r="G22" i="168"/>
  <c r="G23" i="168"/>
  <c r="AF80" i="169"/>
  <c r="G81" i="169"/>
  <c r="Z80" i="169"/>
  <c r="AF75" i="169"/>
  <c r="Z75" i="169"/>
  <c r="V81" i="169"/>
  <c r="AI75" i="169"/>
  <c r="AB80" i="169"/>
  <c r="W80" i="169"/>
  <c r="W75" i="169"/>
  <c r="Z54" i="169"/>
  <c r="Z59" i="169"/>
  <c r="AA54" i="169"/>
  <c r="AA59" i="169"/>
  <c r="AC54" i="169"/>
  <c r="AC59" i="169"/>
  <c r="F135" i="167"/>
  <c r="G131" i="167"/>
  <c r="AF54" i="169"/>
  <c r="AF59" i="169"/>
  <c r="AH54" i="169"/>
  <c r="AH59" i="169"/>
  <c r="AI54" i="169"/>
  <c r="AI59" i="169"/>
  <c r="AG54" i="169"/>
  <c r="AG59" i="169"/>
  <c r="AD54" i="169"/>
  <c r="AD59" i="169"/>
  <c r="S58" i="169"/>
  <c r="AB54" i="169"/>
  <c r="AB59" i="169"/>
  <c r="AE54" i="169"/>
  <c r="AE59" i="169"/>
  <c r="E33" i="169"/>
  <c r="E38" i="169"/>
  <c r="O89" i="166"/>
  <c r="P85" i="166"/>
  <c r="P89" i="166"/>
  <c r="Q85" i="166"/>
  <c r="Q89" i="166"/>
  <c r="R85" i="166"/>
  <c r="R89" i="166"/>
  <c r="S85" i="166"/>
  <c r="S89" i="166"/>
  <c r="T85" i="166"/>
  <c r="F5" i="172"/>
  <c r="W39" i="169"/>
  <c r="I14" i="169"/>
  <c r="Y81" i="169"/>
  <c r="AB39" i="169"/>
  <c r="C150" i="167"/>
  <c r="C60" i="169"/>
  <c r="I39" i="169"/>
  <c r="N81" i="169"/>
  <c r="AH32" i="169"/>
  <c r="K81" i="169"/>
  <c r="J35" i="169"/>
  <c r="AA35" i="169"/>
  <c r="AC35" i="169"/>
  <c r="AI35" i="169"/>
  <c r="U35" i="169"/>
  <c r="AF35" i="169"/>
  <c r="AE35" i="169"/>
  <c r="E35" i="169"/>
  <c r="AG35" i="169"/>
  <c r="M35" i="169"/>
  <c r="AB35" i="169"/>
  <c r="I35" i="169"/>
  <c r="X35" i="169"/>
  <c r="W35" i="169"/>
  <c r="AD35" i="169"/>
  <c r="Q35" i="169"/>
  <c r="T35" i="169"/>
  <c r="AH35" i="169"/>
  <c r="P35" i="169"/>
  <c r="O35" i="169"/>
  <c r="V35" i="169"/>
  <c r="K35" i="169"/>
  <c r="L35" i="169"/>
  <c r="Z35" i="169"/>
  <c r="S35" i="169"/>
  <c r="H35" i="169"/>
  <c r="G35" i="169"/>
  <c r="N35" i="169"/>
  <c r="R35" i="169"/>
  <c r="Y35" i="169"/>
  <c r="F35" i="169"/>
  <c r="X39" i="169"/>
  <c r="J39" i="169"/>
  <c r="O39" i="169"/>
  <c r="AE37" i="169"/>
  <c r="AA39" i="169"/>
  <c r="I79" i="169"/>
  <c r="I74" i="169"/>
  <c r="K79" i="169"/>
  <c r="K74" i="169"/>
  <c r="M79" i="169"/>
  <c r="M74" i="169"/>
  <c r="L39" i="169"/>
  <c r="AF58" i="169"/>
  <c r="AF53" i="169"/>
  <c r="J79" i="169"/>
  <c r="J74" i="169"/>
  <c r="S53" i="169"/>
  <c r="H79" i="169"/>
  <c r="H74" i="169"/>
  <c r="AH53" i="169"/>
  <c r="AE58" i="169"/>
  <c r="AE53" i="169"/>
  <c r="AH58" i="169"/>
  <c r="F58" i="169"/>
  <c r="G79" i="169"/>
  <c r="G74" i="169"/>
  <c r="F53" i="169"/>
  <c r="AI58" i="169"/>
  <c r="AI53" i="169"/>
  <c r="AG58" i="169"/>
  <c r="AG53" i="169"/>
  <c r="W81" i="169"/>
  <c r="H81" i="169"/>
  <c r="O81" i="169"/>
  <c r="AC81" i="169"/>
  <c r="J81" i="169"/>
  <c r="S81" i="169"/>
  <c r="P81" i="169"/>
  <c r="I81" i="169"/>
  <c r="F135" i="168"/>
  <c r="G131" i="168"/>
  <c r="G135" i="168"/>
  <c r="H131" i="168"/>
  <c r="H135" i="168"/>
  <c r="I131" i="168"/>
  <c r="I135" i="168"/>
  <c r="J131" i="168"/>
  <c r="J135" i="168"/>
  <c r="K131" i="168"/>
  <c r="K135" i="168"/>
  <c r="L131" i="168"/>
  <c r="L135" i="168"/>
  <c r="M131" i="168"/>
  <c r="AD33" i="169"/>
  <c r="AD38" i="169"/>
  <c r="AF33" i="169"/>
  <c r="AF38" i="169"/>
  <c r="AC33" i="169"/>
  <c r="AC38" i="169"/>
  <c r="AE33" i="169"/>
  <c r="AE38" i="169"/>
  <c r="AG33" i="169"/>
  <c r="AG38" i="169"/>
  <c r="Z33" i="169"/>
  <c r="Z38" i="169"/>
  <c r="AA33" i="169"/>
  <c r="AA38" i="169"/>
  <c r="AB33" i="169"/>
  <c r="AB38" i="169"/>
  <c r="AH33" i="169"/>
  <c r="AH38" i="169"/>
  <c r="AI33" i="169"/>
  <c r="AI38" i="169"/>
  <c r="E42" i="169"/>
  <c r="E155" i="166"/>
  <c r="S39" i="169"/>
  <c r="Q37" i="169"/>
  <c r="S32" i="169"/>
  <c r="AI74" i="169"/>
  <c r="Y39" i="169"/>
  <c r="Y32" i="169"/>
  <c r="S37" i="169"/>
  <c r="Y37" i="169"/>
  <c r="AB37" i="169"/>
  <c r="T39" i="169"/>
  <c r="AB32" i="169"/>
  <c r="Q39" i="169"/>
  <c r="X37" i="169"/>
  <c r="AH37" i="169"/>
  <c r="W37" i="169"/>
  <c r="AA37" i="169"/>
  <c r="W32" i="169"/>
  <c r="X32" i="169"/>
  <c r="H39" i="169"/>
  <c r="I37" i="169"/>
  <c r="T37" i="169"/>
  <c r="T32" i="169"/>
  <c r="AF37" i="169"/>
  <c r="I32" i="169"/>
  <c r="Z39" i="169"/>
  <c r="E152" i="168"/>
  <c r="Z37" i="169"/>
  <c r="J37" i="169"/>
  <c r="Z32" i="169"/>
  <c r="J32" i="169"/>
  <c r="O32" i="169"/>
  <c r="Q32" i="169"/>
  <c r="O37" i="169"/>
  <c r="AF32" i="169"/>
  <c r="AE32" i="169"/>
  <c r="AI79" i="169"/>
  <c r="AE79" i="169"/>
  <c r="AE74" i="169"/>
  <c r="R39" i="169"/>
  <c r="H37" i="169"/>
  <c r="H32" i="169"/>
  <c r="AA32" i="169"/>
  <c r="F79" i="169"/>
  <c r="M39" i="169"/>
  <c r="U39" i="169"/>
  <c r="AI37" i="169"/>
  <c r="AI32" i="169"/>
  <c r="AH79" i="169"/>
  <c r="AH74" i="169"/>
  <c r="AG37" i="169"/>
  <c r="AG32" i="169"/>
  <c r="N39" i="169"/>
  <c r="T53" i="169"/>
  <c r="AC39" i="169"/>
  <c r="K39" i="169"/>
  <c r="P39" i="169"/>
  <c r="P37" i="169"/>
  <c r="L79" i="169"/>
  <c r="L74" i="169"/>
  <c r="AG79" i="169"/>
  <c r="AG74" i="169"/>
  <c r="N79" i="169"/>
  <c r="N74" i="169"/>
  <c r="G39" i="169"/>
  <c r="L32" i="169"/>
  <c r="L37" i="169"/>
  <c r="V39" i="169"/>
  <c r="V37" i="169"/>
  <c r="AF74" i="169"/>
  <c r="AF79" i="169"/>
  <c r="AD39" i="169"/>
  <c r="F74" i="169"/>
  <c r="AE42" i="169"/>
  <c r="F135" i="166"/>
  <c r="G131" i="166"/>
  <c r="M135" i="168"/>
  <c r="N131" i="168"/>
  <c r="C150" i="168"/>
  <c r="C81" i="169"/>
  <c r="E80" i="168"/>
  <c r="K78" i="169"/>
  <c r="F75" i="169"/>
  <c r="F80" i="169"/>
  <c r="E52" i="169"/>
  <c r="E80" i="167"/>
  <c r="E44" i="169"/>
  <c r="E83" i="169"/>
  <c r="E85" i="169"/>
  <c r="E156" i="168"/>
  <c r="E63" i="169"/>
  <c r="E155" i="167"/>
  <c r="AB42" i="169"/>
  <c r="AI42" i="169"/>
  <c r="AH42" i="169"/>
  <c r="AF42" i="169"/>
  <c r="V32" i="169"/>
  <c r="Z42" i="169"/>
  <c r="AE52" i="169"/>
  <c r="AE152" i="167"/>
  <c r="AE62" i="169"/>
  <c r="AF52" i="169"/>
  <c r="AF152" i="167"/>
  <c r="AF62" i="169"/>
  <c r="E80" i="166"/>
  <c r="AH52" i="169"/>
  <c r="AH152" i="167"/>
  <c r="AH62" i="169"/>
  <c r="AG52" i="169"/>
  <c r="AG152" i="167"/>
  <c r="AG62" i="169"/>
  <c r="AI52" i="169"/>
  <c r="AI152" i="167"/>
  <c r="AI62" i="169"/>
  <c r="AG42" i="169"/>
  <c r="P32" i="169"/>
  <c r="F39" i="169"/>
  <c r="C150" i="166"/>
  <c r="C39" i="169"/>
  <c r="AE57" i="169"/>
  <c r="AG57" i="169"/>
  <c r="N37" i="169"/>
  <c r="N32" i="169"/>
  <c r="R37" i="169"/>
  <c r="R32" i="169"/>
  <c r="M37" i="169"/>
  <c r="M32" i="169"/>
  <c r="T58" i="169"/>
  <c r="AH57" i="169"/>
  <c r="AI57" i="169"/>
  <c r="AF57" i="169"/>
  <c r="AA42" i="169"/>
  <c r="G37" i="169"/>
  <c r="G32" i="169"/>
  <c r="K37" i="169"/>
  <c r="K32" i="169"/>
  <c r="O79" i="169"/>
  <c r="O74" i="169"/>
  <c r="U37" i="169"/>
  <c r="U32" i="169"/>
  <c r="AH64" i="169"/>
  <c r="AG64" i="169"/>
  <c r="AE64" i="169"/>
  <c r="AI64" i="169"/>
  <c r="AF64" i="169"/>
  <c r="E152" i="167"/>
  <c r="H78" i="169"/>
  <c r="G57" i="169"/>
  <c r="G135" i="167"/>
  <c r="H131" i="167"/>
  <c r="G78" i="169"/>
  <c r="L78" i="169"/>
  <c r="I78" i="169"/>
  <c r="M78" i="169"/>
  <c r="J78" i="169"/>
  <c r="F54" i="169"/>
  <c r="F59" i="169"/>
  <c r="F126" i="167"/>
  <c r="F33" i="169"/>
  <c r="F38" i="169"/>
  <c r="E87" i="169"/>
  <c r="E64" i="169"/>
  <c r="E156" i="167"/>
  <c r="E84" i="169"/>
  <c r="E155" i="168"/>
  <c r="E62" i="169"/>
  <c r="E65" i="169"/>
  <c r="Z43" i="169"/>
  <c r="AF152" i="168"/>
  <c r="AF83" i="169"/>
  <c r="AH152" i="168"/>
  <c r="AH83" i="169"/>
  <c r="AI63" i="169"/>
  <c r="AG63" i="169"/>
  <c r="AA43" i="169"/>
  <c r="AF63" i="169"/>
  <c r="AI152" i="168"/>
  <c r="AI83" i="169"/>
  <c r="AG43" i="169"/>
  <c r="AE63" i="169"/>
  <c r="AG152" i="168"/>
  <c r="AG83" i="169"/>
  <c r="AE152" i="168"/>
  <c r="AE83" i="169"/>
  <c r="AH63" i="169"/>
  <c r="F126" i="166"/>
  <c r="F78" i="169"/>
  <c r="AH78" i="169"/>
  <c r="F32" i="169"/>
  <c r="F57" i="169"/>
  <c r="AF78" i="169"/>
  <c r="F37" i="169"/>
  <c r="AE78" i="169"/>
  <c r="P79" i="169"/>
  <c r="AI78" i="169"/>
  <c r="AG78" i="169"/>
  <c r="AD37" i="169"/>
  <c r="AC37" i="169"/>
  <c r="Z152" i="166"/>
  <c r="Z41" i="169"/>
  <c r="AH85" i="169"/>
  <c r="E152" i="166"/>
  <c r="AI85" i="169"/>
  <c r="AG85" i="169"/>
  <c r="AE85" i="169"/>
  <c r="AF85" i="169"/>
  <c r="G126" i="167"/>
  <c r="F126" i="168"/>
  <c r="G126" i="168"/>
  <c r="H126" i="168"/>
  <c r="I126" i="168"/>
  <c r="J126" i="168"/>
  <c r="K126" i="168"/>
  <c r="L126" i="168"/>
  <c r="M126" i="168"/>
  <c r="N135" i="168"/>
  <c r="O131" i="168"/>
  <c r="G135" i="166"/>
  <c r="H131" i="166"/>
  <c r="E86" i="169"/>
  <c r="E41" i="169"/>
  <c r="F42" i="169"/>
  <c r="F155" i="166"/>
  <c r="E66" i="169"/>
  <c r="E43" i="169"/>
  <c r="E156" i="166"/>
  <c r="G126" i="166"/>
  <c r="AH152" i="166"/>
  <c r="AH41" i="169"/>
  <c r="AH43" i="169"/>
  <c r="AG152" i="166"/>
  <c r="AG41" i="169"/>
  <c r="AB43" i="169"/>
  <c r="AI152" i="166"/>
  <c r="AI41" i="169"/>
  <c r="AA152" i="166"/>
  <c r="AA41" i="169"/>
  <c r="AB152" i="166"/>
  <c r="AB41" i="169"/>
  <c r="AI43" i="169"/>
  <c r="AF43" i="169"/>
  <c r="AF152" i="166"/>
  <c r="AF41" i="169"/>
  <c r="AC42" i="169"/>
  <c r="AE43" i="169"/>
  <c r="AE152" i="166"/>
  <c r="AE41" i="169"/>
  <c r="AG84" i="169"/>
  <c r="AH84" i="169"/>
  <c r="AD152" i="166"/>
  <c r="AD41" i="169"/>
  <c r="AD42" i="169"/>
  <c r="F152" i="168"/>
  <c r="AI84" i="169"/>
  <c r="AF84" i="169"/>
  <c r="U52" i="169"/>
  <c r="AE84" i="169"/>
  <c r="Q74" i="169"/>
  <c r="U58" i="169"/>
  <c r="AC32" i="169"/>
  <c r="AC152" i="166"/>
  <c r="AC41" i="169"/>
  <c r="AC43" i="169"/>
  <c r="P74" i="169"/>
  <c r="AD32" i="169"/>
  <c r="AD43" i="169"/>
  <c r="V58" i="169"/>
  <c r="V53" i="169"/>
  <c r="U53" i="169"/>
  <c r="C148" i="166"/>
  <c r="C37" i="169"/>
  <c r="C143" i="166"/>
  <c r="C32" i="169"/>
  <c r="F80" i="168"/>
  <c r="N78" i="169"/>
  <c r="G75" i="169"/>
  <c r="F52" i="169"/>
  <c r="F80" i="167"/>
  <c r="G54" i="169"/>
  <c r="F44" i="169"/>
  <c r="F83" i="169"/>
  <c r="E45" i="169"/>
  <c r="F85" i="169"/>
  <c r="F156" i="168"/>
  <c r="G59" i="169"/>
  <c r="W58" i="169"/>
  <c r="W53" i="169"/>
  <c r="R79" i="169"/>
  <c r="R74" i="169"/>
  <c r="G80" i="169"/>
  <c r="Q79" i="169"/>
  <c r="F152" i="167"/>
  <c r="H135" i="167"/>
  <c r="I131" i="167"/>
  <c r="F80" i="166"/>
  <c r="N126" i="168"/>
  <c r="G33" i="169"/>
  <c r="F62" i="169"/>
  <c r="F84" i="169"/>
  <c r="F155" i="168"/>
  <c r="F63" i="169"/>
  <c r="F155" i="167"/>
  <c r="G42" i="169"/>
  <c r="F87" i="169"/>
  <c r="F64" i="169"/>
  <c r="F156" i="167"/>
  <c r="G155" i="166"/>
  <c r="F152" i="166"/>
  <c r="V52" i="169"/>
  <c r="S74" i="169"/>
  <c r="G38" i="169"/>
  <c r="X53" i="169"/>
  <c r="H57" i="169"/>
  <c r="H126" i="167"/>
  <c r="O135" i="168"/>
  <c r="P131" i="168"/>
  <c r="H135" i="166"/>
  <c r="I131" i="166"/>
  <c r="F66" i="169"/>
  <c r="G44" i="169"/>
  <c r="F65" i="169"/>
  <c r="F41" i="169"/>
  <c r="F86" i="169"/>
  <c r="F43" i="169"/>
  <c r="F156" i="166"/>
  <c r="G152" i="168"/>
  <c r="G52" i="169"/>
  <c r="X52" i="169"/>
  <c r="W52" i="169"/>
  <c r="T79" i="169"/>
  <c r="T74" i="169"/>
  <c r="X58" i="169"/>
  <c r="Y58" i="169"/>
  <c r="Y53" i="169"/>
  <c r="S79" i="169"/>
  <c r="G80" i="167"/>
  <c r="G80" i="168"/>
  <c r="O78" i="169"/>
  <c r="H75" i="169"/>
  <c r="H54" i="169"/>
  <c r="H126" i="166"/>
  <c r="G83" i="169"/>
  <c r="G85" i="169"/>
  <c r="G156" i="168"/>
  <c r="G64" i="169"/>
  <c r="F45" i="169"/>
  <c r="G156" i="167"/>
  <c r="G152" i="167"/>
  <c r="H59" i="169"/>
  <c r="H80" i="169"/>
  <c r="Z58" i="169"/>
  <c r="Z53" i="169"/>
  <c r="I135" i="167"/>
  <c r="J131" i="167"/>
  <c r="G80" i="166"/>
  <c r="O126" i="168"/>
  <c r="H33" i="169"/>
  <c r="G63" i="169"/>
  <c r="G155" i="167"/>
  <c r="H42" i="169"/>
  <c r="H155" i="166"/>
  <c r="G87" i="169"/>
  <c r="G62" i="169"/>
  <c r="G66" i="169"/>
  <c r="G84" i="169"/>
  <c r="G155" i="168"/>
  <c r="G152" i="166"/>
  <c r="Y52" i="169"/>
  <c r="H38" i="169"/>
  <c r="AA58" i="169"/>
  <c r="AA53" i="169"/>
  <c r="U79" i="169"/>
  <c r="U74" i="169"/>
  <c r="I57" i="169"/>
  <c r="I126" i="167"/>
  <c r="P57" i="169"/>
  <c r="P135" i="168"/>
  <c r="Q131" i="168"/>
  <c r="I135" i="166"/>
  <c r="J131" i="166"/>
  <c r="G43" i="169"/>
  <c r="G156" i="166"/>
  <c r="H44" i="169"/>
  <c r="G86" i="169"/>
  <c r="G65" i="169"/>
  <c r="G41" i="169"/>
  <c r="H52" i="169"/>
  <c r="H152" i="167"/>
  <c r="H152" i="168"/>
  <c r="Z52" i="169"/>
  <c r="AA57" i="169"/>
  <c r="Z57" i="169"/>
  <c r="AB58" i="169"/>
  <c r="AB53" i="169"/>
  <c r="V79" i="169"/>
  <c r="V74" i="169"/>
  <c r="Z64" i="169"/>
  <c r="H80" i="167"/>
  <c r="H80" i="168"/>
  <c r="P78" i="169"/>
  <c r="I75" i="169"/>
  <c r="I54" i="169"/>
  <c r="I126" i="166"/>
  <c r="H83" i="169"/>
  <c r="H62" i="169"/>
  <c r="H85" i="169"/>
  <c r="H156" i="168"/>
  <c r="G45" i="169"/>
  <c r="H64" i="169"/>
  <c r="H156" i="167"/>
  <c r="Z63" i="169"/>
  <c r="H80" i="166"/>
  <c r="Z152" i="167"/>
  <c r="Z62" i="169"/>
  <c r="AA52" i="169"/>
  <c r="I59" i="169"/>
  <c r="AC58" i="169"/>
  <c r="AC53" i="169"/>
  <c r="I80" i="169"/>
  <c r="W79" i="169"/>
  <c r="W74" i="169"/>
  <c r="AA64" i="169"/>
  <c r="J135" i="167"/>
  <c r="K131" i="167"/>
  <c r="P126" i="168"/>
  <c r="I33" i="169"/>
  <c r="H84" i="169"/>
  <c r="H155" i="168"/>
  <c r="H66" i="169"/>
  <c r="H87" i="169"/>
  <c r="I42" i="169"/>
  <c r="I155" i="166"/>
  <c r="H63" i="169"/>
  <c r="H155" i="167"/>
  <c r="AA63" i="169"/>
  <c r="AB52" i="169"/>
  <c r="AB152" i="167"/>
  <c r="AB62" i="169"/>
  <c r="AA152" i="167"/>
  <c r="AA62" i="169"/>
  <c r="AC57" i="169"/>
  <c r="I38" i="169"/>
  <c r="AB57" i="169"/>
  <c r="X74" i="169"/>
  <c r="X79" i="169"/>
  <c r="H152" i="166"/>
  <c r="AB64" i="169"/>
  <c r="J57" i="169"/>
  <c r="J126" i="167"/>
  <c r="Q135" i="168"/>
  <c r="R131" i="168"/>
  <c r="J135" i="166"/>
  <c r="K131" i="166"/>
  <c r="H41" i="169"/>
  <c r="H65" i="169"/>
  <c r="H43" i="169"/>
  <c r="H156" i="166"/>
  <c r="H86" i="169"/>
  <c r="I44" i="169"/>
  <c r="AC52" i="169"/>
  <c r="AC152" i="167"/>
  <c r="AC62" i="169"/>
  <c r="AB63" i="169"/>
  <c r="W152" i="168"/>
  <c r="W83" i="169"/>
  <c r="I152" i="168"/>
  <c r="I52" i="169"/>
  <c r="AD53" i="169"/>
  <c r="C143" i="167"/>
  <c r="C53" i="169"/>
  <c r="W78" i="169"/>
  <c r="Y79" i="169"/>
  <c r="Y74" i="169"/>
  <c r="AD58" i="169"/>
  <c r="C148" i="167"/>
  <c r="C58" i="169"/>
  <c r="W85" i="169"/>
  <c r="AC64" i="169"/>
  <c r="I80" i="168"/>
  <c r="I80" i="167"/>
  <c r="Q78" i="169"/>
  <c r="J75" i="169"/>
  <c r="Q57" i="169"/>
  <c r="J54" i="169"/>
  <c r="I64" i="169"/>
  <c r="I156" i="167"/>
  <c r="I85" i="169"/>
  <c r="I156" i="168"/>
  <c r="H45" i="169"/>
  <c r="I83" i="169"/>
  <c r="W84" i="169"/>
  <c r="X152" i="168"/>
  <c r="X83" i="169"/>
  <c r="AD52" i="169"/>
  <c r="AD152" i="167"/>
  <c r="AD62" i="169"/>
  <c r="AC63" i="169"/>
  <c r="I80" i="166"/>
  <c r="I152" i="167"/>
  <c r="J80" i="169"/>
  <c r="AD57" i="169"/>
  <c r="Z79" i="169"/>
  <c r="Z74" i="169"/>
  <c r="X78" i="169"/>
  <c r="J59" i="169"/>
  <c r="X85" i="169"/>
  <c r="AD64" i="169"/>
  <c r="K135" i="167"/>
  <c r="L131" i="167"/>
  <c r="Q126" i="168"/>
  <c r="J126" i="166"/>
  <c r="J33" i="169"/>
  <c r="I63" i="169"/>
  <c r="I155" i="167"/>
  <c r="I84" i="169"/>
  <c r="I155" i="168"/>
  <c r="I87" i="169"/>
  <c r="I66" i="169"/>
  <c r="I62" i="169"/>
  <c r="J42" i="169"/>
  <c r="J155" i="166"/>
  <c r="I152" i="166"/>
  <c r="Y152" i="168"/>
  <c r="Y83" i="169"/>
  <c r="X84" i="169"/>
  <c r="AD63" i="169"/>
  <c r="Z78" i="169"/>
  <c r="J38" i="169"/>
  <c r="AA79" i="169"/>
  <c r="AA74" i="169"/>
  <c r="Y78" i="169"/>
  <c r="Y85" i="169"/>
  <c r="K57" i="169"/>
  <c r="K126" i="167"/>
  <c r="R57" i="169"/>
  <c r="R135" i="168"/>
  <c r="S131" i="168"/>
  <c r="K135" i="166"/>
  <c r="L131" i="166"/>
  <c r="I41" i="169"/>
  <c r="I86" i="169"/>
  <c r="J44" i="169"/>
  <c r="I65" i="169"/>
  <c r="I43" i="169"/>
  <c r="I156" i="166"/>
  <c r="J80" i="167"/>
  <c r="Y84" i="169"/>
  <c r="AB79" i="169"/>
  <c r="AB74" i="169"/>
  <c r="Z85" i="169"/>
  <c r="J52" i="169"/>
  <c r="J80" i="168"/>
  <c r="R78" i="169"/>
  <c r="R126" i="168"/>
  <c r="K75" i="169"/>
  <c r="K54" i="169"/>
  <c r="K126" i="166"/>
  <c r="J85" i="169"/>
  <c r="J156" i="168"/>
  <c r="I45" i="169"/>
  <c r="J80" i="166"/>
  <c r="Z84" i="169"/>
  <c r="Z152" i="168"/>
  <c r="Z83" i="169"/>
  <c r="J152" i="168"/>
  <c r="J83" i="169"/>
  <c r="K59" i="169"/>
  <c r="AA78" i="169"/>
  <c r="AC79" i="169"/>
  <c r="AC74" i="169"/>
  <c r="K80" i="169"/>
  <c r="J152" i="167"/>
  <c r="J62" i="169"/>
  <c r="J43" i="169"/>
  <c r="J152" i="166"/>
  <c r="J41" i="169"/>
  <c r="AA85" i="169"/>
  <c r="L135" i="167"/>
  <c r="M131" i="167"/>
  <c r="K33" i="169"/>
  <c r="K38" i="169"/>
  <c r="J63" i="169"/>
  <c r="J155" i="167"/>
  <c r="J156" i="166"/>
  <c r="J87" i="169"/>
  <c r="J64" i="169"/>
  <c r="J156" i="167"/>
  <c r="J84" i="169"/>
  <c r="J155" i="168"/>
  <c r="AA84" i="169"/>
  <c r="AA152" i="168"/>
  <c r="AA83" i="169"/>
  <c r="AB78" i="169"/>
  <c r="AB85" i="169"/>
  <c r="L57" i="169"/>
  <c r="L126" i="167"/>
  <c r="S135" i="168"/>
  <c r="T131" i="168"/>
  <c r="L135" i="166"/>
  <c r="M131" i="166"/>
  <c r="J66" i="169"/>
  <c r="J45" i="169"/>
  <c r="J86" i="169"/>
  <c r="J65" i="169"/>
  <c r="K42" i="169"/>
  <c r="K155" i="166"/>
  <c r="K84" i="169"/>
  <c r="K80" i="168"/>
  <c r="AB84" i="169"/>
  <c r="AB152" i="168"/>
  <c r="AB83" i="169"/>
  <c r="K80" i="167"/>
  <c r="AC78" i="169"/>
  <c r="AD74" i="169"/>
  <c r="C143" i="168"/>
  <c r="C74" i="169"/>
  <c r="AD79" i="169"/>
  <c r="C148" i="168"/>
  <c r="C79" i="169"/>
  <c r="K152" i="168"/>
  <c r="K83" i="169"/>
  <c r="AC85" i="169"/>
  <c r="S57" i="169"/>
  <c r="K52" i="169"/>
  <c r="S126" i="168"/>
  <c r="L75" i="169"/>
  <c r="L54" i="169"/>
  <c r="L126" i="166"/>
  <c r="K85" i="169"/>
  <c r="K156" i="168"/>
  <c r="K155" i="168"/>
  <c r="K44" i="169"/>
  <c r="K80" i="166"/>
  <c r="AC84" i="169"/>
  <c r="AD152" i="168"/>
  <c r="AC152" i="168"/>
  <c r="AC83" i="169"/>
  <c r="AD78" i="169"/>
  <c r="L80" i="169"/>
  <c r="L59" i="169"/>
  <c r="K152" i="167"/>
  <c r="K62" i="169"/>
  <c r="K152" i="166"/>
  <c r="K41" i="169"/>
  <c r="M135" i="167"/>
  <c r="N131" i="167"/>
  <c r="S78" i="169"/>
  <c r="L33" i="169"/>
  <c r="L38" i="169"/>
  <c r="K43" i="169"/>
  <c r="K156" i="166"/>
  <c r="AD85" i="169"/>
  <c r="K63" i="169"/>
  <c r="K155" i="167"/>
  <c r="K86" i="169"/>
  <c r="K64" i="169"/>
  <c r="K156" i="167"/>
  <c r="AD83" i="169"/>
  <c r="K87" i="169"/>
  <c r="T57" i="169"/>
  <c r="M57" i="169"/>
  <c r="M126" i="167"/>
  <c r="T135" i="168"/>
  <c r="U131" i="168"/>
  <c r="M135" i="166"/>
  <c r="N131" i="166"/>
  <c r="K66" i="169"/>
  <c r="AD84" i="169"/>
  <c r="K45" i="169"/>
  <c r="K65" i="169"/>
  <c r="L42" i="169"/>
  <c r="L155" i="166"/>
  <c r="T78" i="169"/>
  <c r="L52" i="169"/>
  <c r="L152" i="167"/>
  <c r="L62" i="169"/>
  <c r="L152" i="168"/>
  <c r="L80" i="168"/>
  <c r="N135" i="167"/>
  <c r="O131" i="167"/>
  <c r="N57" i="169"/>
  <c r="L80" i="167"/>
  <c r="M75" i="169"/>
  <c r="M54" i="169"/>
  <c r="M59" i="169"/>
  <c r="U59" i="169"/>
  <c r="U54" i="169"/>
  <c r="M126" i="166"/>
  <c r="L64" i="169"/>
  <c r="L83" i="169"/>
  <c r="L85" i="169"/>
  <c r="L156" i="168"/>
  <c r="L44" i="169"/>
  <c r="L156" i="167"/>
  <c r="T126" i="168"/>
  <c r="L80" i="166"/>
  <c r="M80" i="169"/>
  <c r="U64" i="169"/>
  <c r="N126" i="167"/>
  <c r="U75" i="169"/>
  <c r="U80" i="169"/>
  <c r="M33" i="169"/>
  <c r="M42" i="169"/>
  <c r="M155" i="166"/>
  <c r="L84" i="169"/>
  <c r="L155" i="168"/>
  <c r="L87" i="169"/>
  <c r="L66" i="169"/>
  <c r="L63" i="169"/>
  <c r="L155" i="167"/>
  <c r="M38" i="169"/>
  <c r="U85" i="169"/>
  <c r="L152" i="166"/>
  <c r="L41" i="169"/>
  <c r="U63" i="169"/>
  <c r="U135" i="168"/>
  <c r="V131" i="168"/>
  <c r="N135" i="166"/>
  <c r="L65" i="169"/>
  <c r="L86" i="169"/>
  <c r="L43" i="169"/>
  <c r="L156" i="166"/>
  <c r="M44" i="169"/>
  <c r="M80" i="167"/>
  <c r="M152" i="167"/>
  <c r="M62" i="169"/>
  <c r="U152" i="167"/>
  <c r="U62" i="169"/>
  <c r="U57" i="169"/>
  <c r="M52" i="169"/>
  <c r="O135" i="167"/>
  <c r="P131" i="167"/>
  <c r="P135" i="167"/>
  <c r="Q131" i="167"/>
  <c r="Q135" i="167"/>
  <c r="R131" i="167"/>
  <c r="R135" i="167"/>
  <c r="S131" i="167"/>
  <c r="S135" i="167"/>
  <c r="T131" i="167"/>
  <c r="T135" i="167"/>
  <c r="U131" i="167"/>
  <c r="U135" i="167"/>
  <c r="V131" i="167"/>
  <c r="M80" i="168"/>
  <c r="U84" i="169"/>
  <c r="N75" i="169"/>
  <c r="N54" i="169"/>
  <c r="V59" i="169"/>
  <c r="V54" i="169"/>
  <c r="N126" i="166"/>
  <c r="M85" i="169"/>
  <c r="M156" i="168"/>
  <c r="L45" i="169"/>
  <c r="M64" i="169"/>
  <c r="M156" i="167"/>
  <c r="M152" i="168"/>
  <c r="N80" i="169"/>
  <c r="U152" i="168"/>
  <c r="U83" i="169"/>
  <c r="U78" i="169"/>
  <c r="N59" i="169"/>
  <c r="V64" i="169"/>
  <c r="O57" i="169"/>
  <c r="O126" i="167"/>
  <c r="P126" i="167"/>
  <c r="Q126" i="167"/>
  <c r="R126" i="167"/>
  <c r="S126" i="167"/>
  <c r="T126" i="167"/>
  <c r="U126" i="167"/>
  <c r="M80" i="166"/>
  <c r="U126" i="168"/>
  <c r="V75" i="169"/>
  <c r="V80" i="169"/>
  <c r="V135" i="167"/>
  <c r="W131" i="167"/>
  <c r="N33" i="169"/>
  <c r="M66" i="169"/>
  <c r="M63" i="169"/>
  <c r="M155" i="167"/>
  <c r="M83" i="169"/>
  <c r="M87" i="169"/>
  <c r="M84" i="169"/>
  <c r="M155" i="168"/>
  <c r="N42" i="169"/>
  <c r="N155" i="166"/>
  <c r="M152" i="166"/>
  <c r="M41" i="169"/>
  <c r="N38" i="169"/>
  <c r="V85" i="169"/>
  <c r="V135" i="168"/>
  <c r="W131" i="168"/>
  <c r="W135" i="168"/>
  <c r="X131" i="168"/>
  <c r="X135" i="168"/>
  <c r="Y131" i="168"/>
  <c r="Y135" i="168"/>
  <c r="Z131" i="168"/>
  <c r="Z135" i="168"/>
  <c r="AA131" i="168"/>
  <c r="AA135" i="168"/>
  <c r="AB131" i="168"/>
  <c r="AB135" i="168"/>
  <c r="AC131" i="168"/>
  <c r="AC135" i="168"/>
  <c r="AD131" i="168"/>
  <c r="AD135" i="168"/>
  <c r="AE131" i="168"/>
  <c r="AE135" i="168"/>
  <c r="AF131" i="168"/>
  <c r="AF135" i="168"/>
  <c r="AG131" i="168"/>
  <c r="AG135" i="168"/>
  <c r="AH131" i="168"/>
  <c r="AH135" i="168"/>
  <c r="AI131" i="168"/>
  <c r="AI135" i="168"/>
  <c r="V63" i="169"/>
  <c r="M43" i="169"/>
  <c r="M156" i="166"/>
  <c r="N44" i="169"/>
  <c r="M65" i="169"/>
  <c r="M86" i="169"/>
  <c r="N152" i="168"/>
  <c r="N52" i="169"/>
  <c r="N80" i="167"/>
  <c r="V152" i="167"/>
  <c r="V62" i="169"/>
  <c r="V57" i="169"/>
  <c r="N80" i="168"/>
  <c r="V126" i="168"/>
  <c r="W126" i="168"/>
  <c r="X126" i="168"/>
  <c r="Y126" i="168"/>
  <c r="Z126" i="168"/>
  <c r="AA126" i="168"/>
  <c r="AB126" i="168"/>
  <c r="AC126" i="168"/>
  <c r="AD126" i="168"/>
  <c r="AE126" i="168"/>
  <c r="AF126" i="168"/>
  <c r="AG126" i="168"/>
  <c r="AH126" i="168"/>
  <c r="AI126" i="168"/>
  <c r="W54" i="169"/>
  <c r="W59" i="169"/>
  <c r="V126" i="167"/>
  <c r="O75" i="169"/>
  <c r="O54" i="169"/>
  <c r="O126" i="166"/>
  <c r="N85" i="169"/>
  <c r="N156" i="168"/>
  <c r="N83" i="169"/>
  <c r="M45" i="169"/>
  <c r="N64" i="169"/>
  <c r="N156" i="167"/>
  <c r="N80" i="166"/>
  <c r="N152" i="167"/>
  <c r="N62" i="169"/>
  <c r="O59" i="169"/>
  <c r="O80" i="169"/>
  <c r="W64" i="169"/>
  <c r="V84" i="169"/>
  <c r="W63" i="169"/>
  <c r="W135" i="167"/>
  <c r="X131" i="167"/>
  <c r="O33" i="169"/>
  <c r="O38" i="169"/>
  <c r="N63" i="169"/>
  <c r="N155" i="167"/>
  <c r="N87" i="169"/>
  <c r="N84" i="169"/>
  <c r="N155" i="168"/>
  <c r="N66" i="169"/>
  <c r="N152" i="166"/>
  <c r="N41" i="169"/>
  <c r="W152" i="167"/>
  <c r="W62" i="169"/>
  <c r="W57" i="169"/>
  <c r="V152" i="168"/>
  <c r="V83" i="169"/>
  <c r="V78" i="169"/>
  <c r="W126" i="167"/>
  <c r="O42" i="169"/>
  <c r="O155" i="166"/>
  <c r="N86" i="169"/>
  <c r="N43" i="169"/>
  <c r="N156" i="166"/>
  <c r="N65" i="169"/>
  <c r="O52" i="169"/>
  <c r="O152" i="167"/>
  <c r="O62" i="169"/>
  <c r="O80" i="168"/>
  <c r="P126" i="166"/>
  <c r="O80" i="167"/>
  <c r="P75" i="169"/>
  <c r="X54" i="169"/>
  <c r="X59" i="169"/>
  <c r="P54" i="169"/>
  <c r="O85" i="169"/>
  <c r="O156" i="168"/>
  <c r="N45" i="169"/>
  <c r="O64" i="169"/>
  <c r="O156" i="167"/>
  <c r="O44" i="169"/>
  <c r="O80" i="166"/>
  <c r="O152" i="168"/>
  <c r="P59" i="169"/>
  <c r="P80" i="169"/>
  <c r="X64" i="169"/>
  <c r="O152" i="166"/>
  <c r="O41" i="169"/>
  <c r="O43" i="169"/>
  <c r="X135" i="167"/>
  <c r="Y131" i="167"/>
  <c r="P42" i="169"/>
  <c r="P33" i="169"/>
  <c r="O83" i="169"/>
  <c r="O66" i="169"/>
  <c r="O63" i="169"/>
  <c r="O155" i="167"/>
  <c r="O156" i="166"/>
  <c r="O84" i="169"/>
  <c r="O155" i="168"/>
  <c r="O87" i="169"/>
  <c r="P155" i="166"/>
  <c r="P84" i="169"/>
  <c r="P63" i="169"/>
  <c r="P52" i="169"/>
  <c r="P38" i="169"/>
  <c r="P80" i="168"/>
  <c r="P80" i="167"/>
  <c r="X63" i="169"/>
  <c r="X126" i="167"/>
  <c r="O45" i="169"/>
  <c r="P44" i="169"/>
  <c r="P155" i="167"/>
  <c r="O65" i="169"/>
  <c r="P155" i="168"/>
  <c r="O86" i="169"/>
  <c r="X152" i="167"/>
  <c r="X62" i="169"/>
  <c r="X57" i="169"/>
  <c r="P152" i="168"/>
  <c r="P83" i="169"/>
  <c r="P152" i="167"/>
  <c r="P62" i="169"/>
  <c r="Q126" i="166"/>
  <c r="Q54" i="169"/>
  <c r="Q75" i="169"/>
  <c r="Y59" i="169"/>
  <c r="Y54" i="169"/>
  <c r="P80" i="166"/>
  <c r="P65" i="169"/>
  <c r="P85" i="169"/>
  <c r="P156" i="168"/>
  <c r="P64" i="169"/>
  <c r="P156" i="167"/>
  <c r="P86" i="169"/>
  <c r="Q59" i="169"/>
  <c r="Q80" i="169"/>
  <c r="P152" i="166"/>
  <c r="P41" i="169"/>
  <c r="Y135" i="167"/>
  <c r="Z131" i="167"/>
  <c r="Z135" i="167"/>
  <c r="AA131" i="167"/>
  <c r="AA135" i="167"/>
  <c r="AB131" i="167"/>
  <c r="AB135" i="167"/>
  <c r="AC131" i="167"/>
  <c r="AC135" i="167"/>
  <c r="AD131" i="167"/>
  <c r="AD135" i="167"/>
  <c r="AE131" i="167"/>
  <c r="AE135" i="167"/>
  <c r="AF131" i="167"/>
  <c r="AF135" i="167"/>
  <c r="AG131" i="167"/>
  <c r="AG135" i="167"/>
  <c r="AH131" i="167"/>
  <c r="AH135" i="167"/>
  <c r="AI131" i="167"/>
  <c r="AI135" i="167"/>
  <c r="Q33" i="169"/>
  <c r="P66" i="169"/>
  <c r="Y64" i="169"/>
  <c r="P87" i="169"/>
  <c r="P43" i="169"/>
  <c r="P156" i="166"/>
  <c r="Q42" i="169"/>
  <c r="Q155" i="166"/>
  <c r="Q38" i="169"/>
  <c r="Q52" i="169"/>
  <c r="Q80" i="167"/>
  <c r="Q80" i="168"/>
  <c r="Y126" i="167"/>
  <c r="Z126" i="167"/>
  <c r="AA126" i="167"/>
  <c r="AB126" i="167"/>
  <c r="AC126" i="167"/>
  <c r="AD126" i="167"/>
  <c r="AE126" i="167"/>
  <c r="AF126" i="167"/>
  <c r="AG126" i="167"/>
  <c r="AH126" i="167"/>
  <c r="AI126" i="167"/>
  <c r="Q63" i="169"/>
  <c r="Q155" i="167"/>
  <c r="P45" i="169"/>
  <c r="Q84" i="169"/>
  <c r="Q155" i="168"/>
  <c r="Y63" i="169"/>
  <c r="Q44" i="169"/>
  <c r="Y152" i="167"/>
  <c r="Y57" i="169"/>
  <c r="Q152" i="167"/>
  <c r="Q62" i="169"/>
  <c r="Q152" i="168"/>
  <c r="Q83" i="169"/>
  <c r="R126" i="166"/>
  <c r="R75" i="169"/>
  <c r="R54" i="169"/>
  <c r="Y62" i="169"/>
  <c r="Q64" i="169"/>
  <c r="Q156" i="167"/>
  <c r="Q65" i="169"/>
  <c r="Q86" i="169"/>
  <c r="Q85" i="169"/>
  <c r="Q156" i="168"/>
  <c r="R59" i="169"/>
  <c r="R80" i="169"/>
  <c r="S38" i="169"/>
  <c r="S33" i="169"/>
  <c r="Q80" i="166"/>
  <c r="R33" i="169"/>
  <c r="Q66" i="169"/>
  <c r="R42" i="169"/>
  <c r="R155" i="166"/>
  <c r="Q87" i="169"/>
  <c r="R52" i="169"/>
  <c r="Q152" i="166"/>
  <c r="Q41" i="169"/>
  <c r="R38" i="169"/>
  <c r="S43" i="169"/>
  <c r="R80" i="168"/>
  <c r="R80" i="167"/>
  <c r="T89" i="166"/>
  <c r="U85" i="166"/>
  <c r="U89" i="166"/>
  <c r="V85" i="166"/>
  <c r="V89" i="166"/>
  <c r="W85" i="166"/>
  <c r="W89" i="166"/>
  <c r="X85" i="166"/>
  <c r="X89" i="166"/>
  <c r="Y85" i="166"/>
  <c r="Y89" i="166"/>
  <c r="Z85" i="166"/>
  <c r="Z89" i="166"/>
  <c r="AA85" i="166"/>
  <c r="AA89" i="166"/>
  <c r="AB85" i="166"/>
  <c r="AB89" i="166"/>
  <c r="AC85" i="166"/>
  <c r="AC89" i="166"/>
  <c r="AD85" i="166"/>
  <c r="AD89" i="166"/>
  <c r="AE85" i="166"/>
  <c r="AE89" i="166"/>
  <c r="AF85" i="166"/>
  <c r="AF89" i="166"/>
  <c r="AG85" i="166"/>
  <c r="AG89" i="166"/>
  <c r="AH85" i="166"/>
  <c r="AH89" i="166"/>
  <c r="AI85" i="166"/>
  <c r="AI89" i="166"/>
  <c r="Q43" i="169"/>
  <c r="Q156" i="166"/>
  <c r="R44" i="169"/>
  <c r="R84" i="169"/>
  <c r="R155" i="168"/>
  <c r="R152" i="168"/>
  <c r="R83" i="169"/>
  <c r="R152" i="167"/>
  <c r="S42" i="169"/>
  <c r="S126" i="166"/>
  <c r="S75" i="169"/>
  <c r="S54" i="169"/>
  <c r="R80" i="166"/>
  <c r="S80" i="166"/>
  <c r="T80" i="166"/>
  <c r="U80" i="166"/>
  <c r="V80" i="166"/>
  <c r="W80" i="166"/>
  <c r="X80" i="166"/>
  <c r="Y80" i="166"/>
  <c r="Z80" i="166"/>
  <c r="AA80" i="166"/>
  <c r="AB80" i="166"/>
  <c r="AC80" i="166"/>
  <c r="AD80" i="166"/>
  <c r="AE80" i="166"/>
  <c r="AF80" i="166"/>
  <c r="AG80" i="166"/>
  <c r="AH80" i="166"/>
  <c r="AI80" i="166"/>
  <c r="R64" i="169"/>
  <c r="R156" i="167"/>
  <c r="S155" i="166"/>
  <c r="R62" i="169"/>
  <c r="R156" i="166"/>
  <c r="Q45" i="169"/>
  <c r="R86" i="169"/>
  <c r="R85" i="169"/>
  <c r="R156" i="168"/>
  <c r="R63" i="169"/>
  <c r="R155" i="167"/>
  <c r="S59" i="169"/>
  <c r="S152" i="166"/>
  <c r="S41" i="169"/>
  <c r="S80" i="169"/>
  <c r="R152" i="166"/>
  <c r="R41" i="169"/>
  <c r="R43" i="169"/>
  <c r="T33" i="169"/>
  <c r="T38" i="169"/>
  <c r="S156" i="166"/>
  <c r="R45" i="169"/>
  <c r="R87" i="169"/>
  <c r="S44" i="169"/>
  <c r="R66" i="169"/>
  <c r="R65" i="169"/>
  <c r="S52" i="169"/>
  <c r="T43" i="169"/>
  <c r="AE18" i="169"/>
  <c r="S80" i="167"/>
  <c r="AH18" i="169"/>
  <c r="AG18" i="169"/>
  <c r="AF18" i="169"/>
  <c r="AI18" i="169"/>
  <c r="S63" i="169"/>
  <c r="S155" i="167"/>
  <c r="T156" i="166"/>
  <c r="S45" i="169"/>
  <c r="S80" i="168"/>
  <c r="S152" i="167"/>
  <c r="T126" i="166"/>
  <c r="T80" i="169"/>
  <c r="T75" i="169"/>
  <c r="T59" i="169"/>
  <c r="T54" i="169"/>
  <c r="T42" i="169"/>
  <c r="T155" i="166"/>
  <c r="T45" i="169"/>
  <c r="S62" i="169"/>
  <c r="S65" i="169"/>
  <c r="S84" i="169"/>
  <c r="S155" i="168"/>
  <c r="S64" i="169"/>
  <c r="S156" i="167"/>
  <c r="S152" i="168"/>
  <c r="S83" i="169"/>
  <c r="T152" i="166"/>
  <c r="T41" i="169"/>
  <c r="C144" i="167"/>
  <c r="C54" i="169"/>
  <c r="C144" i="168"/>
  <c r="C75" i="169"/>
  <c r="C149" i="168"/>
  <c r="C149" i="167"/>
  <c r="U33" i="169"/>
  <c r="U38" i="169"/>
  <c r="T89" i="168"/>
  <c r="U85" i="168"/>
  <c r="U89" i="168"/>
  <c r="V85" i="168"/>
  <c r="V89" i="168"/>
  <c r="W85" i="168"/>
  <c r="W89" i="168"/>
  <c r="X85" i="168"/>
  <c r="X89" i="168"/>
  <c r="Y85" i="168"/>
  <c r="Y89" i="168"/>
  <c r="Z85" i="168"/>
  <c r="Z89" i="168"/>
  <c r="AA85" i="168"/>
  <c r="AA89" i="168"/>
  <c r="AB85" i="168"/>
  <c r="AB89" i="168"/>
  <c r="AC85" i="168"/>
  <c r="AC89" i="168"/>
  <c r="AD85" i="168"/>
  <c r="AD89" i="168"/>
  <c r="AE85" i="168"/>
  <c r="AE89" i="168"/>
  <c r="AF85" i="168"/>
  <c r="AF89" i="168"/>
  <c r="AG85" i="168"/>
  <c r="AG89" i="168"/>
  <c r="AH85" i="168"/>
  <c r="AH89" i="168"/>
  <c r="AI85" i="168"/>
  <c r="AI89" i="168"/>
  <c r="T89" i="167"/>
  <c r="U85" i="167"/>
  <c r="U89" i="167"/>
  <c r="V85" i="167"/>
  <c r="V89" i="167"/>
  <c r="W85" i="167"/>
  <c r="W89" i="167"/>
  <c r="X85" i="167"/>
  <c r="X89" i="167"/>
  <c r="Y85" i="167"/>
  <c r="Y89" i="167"/>
  <c r="Z85" i="167"/>
  <c r="Z89" i="167"/>
  <c r="AA85" i="167"/>
  <c r="AA89" i="167"/>
  <c r="AB85" i="167"/>
  <c r="AB89" i="167"/>
  <c r="AC85" i="167"/>
  <c r="AC89" i="167"/>
  <c r="AD85" i="167"/>
  <c r="AD89" i="167"/>
  <c r="AE85" i="167"/>
  <c r="AE89" i="167"/>
  <c r="AF85" i="167"/>
  <c r="AF89" i="167"/>
  <c r="AG85" i="167"/>
  <c r="AG89" i="167"/>
  <c r="AH85" i="167"/>
  <c r="AH89" i="167"/>
  <c r="AI85" i="167"/>
  <c r="AI89" i="167"/>
  <c r="S66" i="169"/>
  <c r="S85" i="169"/>
  <c r="S156" i="168"/>
  <c r="S86" i="169"/>
  <c r="T44" i="169"/>
  <c r="C80" i="169"/>
  <c r="C59" i="169"/>
  <c r="T52" i="169"/>
  <c r="T80" i="167"/>
  <c r="U80" i="167"/>
  <c r="V80" i="167"/>
  <c r="W80" i="167"/>
  <c r="X80" i="167"/>
  <c r="Y80" i="167"/>
  <c r="Z80" i="167"/>
  <c r="AA80" i="167"/>
  <c r="AB80" i="167"/>
  <c r="AC80" i="167"/>
  <c r="AD80" i="167"/>
  <c r="AE80" i="167"/>
  <c r="AF80" i="167"/>
  <c r="AG80" i="167"/>
  <c r="AH80" i="167"/>
  <c r="AI80" i="167"/>
  <c r="T63" i="169"/>
  <c r="E6" i="172"/>
  <c r="T155" i="167"/>
  <c r="S87" i="169"/>
  <c r="U43" i="169"/>
  <c r="U156" i="166"/>
  <c r="T80" i="168"/>
  <c r="U80" i="168"/>
  <c r="V80" i="168"/>
  <c r="W80" i="168"/>
  <c r="X80" i="168"/>
  <c r="Y80" i="168"/>
  <c r="Z80" i="168"/>
  <c r="AA80" i="168"/>
  <c r="AB80" i="168"/>
  <c r="AC80" i="168"/>
  <c r="AD80" i="168"/>
  <c r="AE80" i="168"/>
  <c r="AF80" i="168"/>
  <c r="AG80" i="168"/>
  <c r="AH80" i="168"/>
  <c r="AI80" i="168"/>
  <c r="T152" i="167"/>
  <c r="U126" i="166"/>
  <c r="T62" i="169"/>
  <c r="C62" i="169"/>
  <c r="T84" i="169"/>
  <c r="E7" i="172"/>
  <c r="T155" i="168"/>
  <c r="U45" i="169"/>
  <c r="T85" i="169"/>
  <c r="U42" i="169"/>
  <c r="U155" i="166"/>
  <c r="U155" i="167"/>
  <c r="T65" i="169"/>
  <c r="T152" i="168"/>
  <c r="T64" i="169"/>
  <c r="T156" i="167"/>
  <c r="T156" i="168"/>
  <c r="U152" i="166"/>
  <c r="U41" i="169"/>
  <c r="V38" i="169"/>
  <c r="V33" i="169"/>
  <c r="T83" i="169"/>
  <c r="C83" i="169"/>
  <c r="U44" i="169"/>
  <c r="U156" i="168"/>
  <c r="T87" i="169"/>
  <c r="V155" i="167"/>
  <c r="U65" i="169"/>
  <c r="U155" i="168"/>
  <c r="T86" i="169"/>
  <c r="U156" i="167"/>
  <c r="T66" i="169"/>
  <c r="W155" i="167"/>
  <c r="V65" i="169"/>
  <c r="V156" i="168"/>
  <c r="U87" i="169"/>
  <c r="V43" i="169"/>
  <c r="V156" i="166"/>
  <c r="V156" i="167"/>
  <c r="U66" i="169"/>
  <c r="V155" i="168"/>
  <c r="U86" i="169"/>
  <c r="V126" i="166"/>
  <c r="W156" i="167"/>
  <c r="V66" i="169"/>
  <c r="W156" i="168"/>
  <c r="V87" i="169"/>
  <c r="V45" i="169"/>
  <c r="V42" i="169"/>
  <c r="V155" i="166"/>
  <c r="W155" i="168"/>
  <c r="V86" i="169"/>
  <c r="X155" i="167"/>
  <c r="W65" i="169"/>
  <c r="V152" i="166"/>
  <c r="V41" i="169"/>
  <c r="W38" i="169"/>
  <c r="W33" i="169"/>
  <c r="V44" i="169"/>
  <c r="X156" i="168"/>
  <c r="W87" i="169"/>
  <c r="Y155" i="167"/>
  <c r="X65" i="169"/>
  <c r="X155" i="168"/>
  <c r="W86" i="169"/>
  <c r="X156" i="167"/>
  <c r="W66" i="169"/>
  <c r="Y155" i="168"/>
  <c r="X86" i="169"/>
  <c r="W43" i="169"/>
  <c r="W156" i="166"/>
  <c r="Z155" i="167"/>
  <c r="Y65" i="169"/>
  <c r="Y156" i="168"/>
  <c r="X87" i="169"/>
  <c r="Y156" i="167"/>
  <c r="X66" i="169"/>
  <c r="W126" i="166"/>
  <c r="Z156" i="168"/>
  <c r="Y87" i="169"/>
  <c r="AA155" i="167"/>
  <c r="Z65" i="169"/>
  <c r="W42" i="169"/>
  <c r="W155" i="166"/>
  <c r="W45" i="169"/>
  <c r="Z156" i="167"/>
  <c r="Y66" i="169"/>
  <c r="Z155" i="168"/>
  <c r="Y86" i="169"/>
  <c r="W152" i="166"/>
  <c r="W41" i="169"/>
  <c r="X33" i="169"/>
  <c r="X38" i="169"/>
  <c r="A8" i="169"/>
  <c r="W44" i="169"/>
  <c r="AA155" i="168"/>
  <c r="Z86" i="169"/>
  <c r="AB155" i="167"/>
  <c r="AA65" i="169"/>
  <c r="AA156" i="167"/>
  <c r="Z66" i="169"/>
  <c r="AA156" i="168"/>
  <c r="Z87" i="169"/>
  <c r="F4" i="172"/>
  <c r="I26" i="89"/>
  <c r="AB156" i="167"/>
  <c r="AA66" i="169"/>
  <c r="AC155" i="167"/>
  <c r="AB65" i="169"/>
  <c r="X43" i="169"/>
  <c r="X156" i="166"/>
  <c r="AB155" i="168"/>
  <c r="AA86" i="169"/>
  <c r="AB156" i="168"/>
  <c r="AA87" i="169"/>
  <c r="E11" i="169"/>
  <c r="E46" i="89"/>
  <c r="E47" i="89"/>
  <c r="X126" i="166"/>
  <c r="E17" i="169"/>
  <c r="E12" i="169"/>
  <c r="F131" i="89"/>
  <c r="B17" i="89"/>
  <c r="G13" i="89"/>
  <c r="X45" i="169"/>
  <c r="X42" i="169"/>
  <c r="X155" i="166"/>
  <c r="AC155" i="168"/>
  <c r="AB86" i="169"/>
  <c r="AD155" i="167"/>
  <c r="AC65" i="169"/>
  <c r="AC156" i="168"/>
  <c r="AB87" i="169"/>
  <c r="AC156" i="167"/>
  <c r="AB66" i="169"/>
  <c r="AD18" i="169"/>
  <c r="AB18" i="169"/>
  <c r="E16" i="169"/>
  <c r="Z18" i="169"/>
  <c r="AC18" i="169"/>
  <c r="W18" i="169"/>
  <c r="J18" i="169"/>
  <c r="L18" i="169"/>
  <c r="N18" i="169"/>
  <c r="F18" i="169"/>
  <c r="R18" i="169"/>
  <c r="X152" i="166"/>
  <c r="X41" i="169"/>
  <c r="I18" i="169"/>
  <c r="S18" i="169"/>
  <c r="Y33" i="169"/>
  <c r="Y38" i="169"/>
  <c r="K18" i="169"/>
  <c r="AA18" i="169"/>
  <c r="Q18" i="169"/>
  <c r="P18" i="169"/>
  <c r="T18" i="169"/>
  <c r="H18" i="169"/>
  <c r="V18" i="169"/>
  <c r="U18" i="169"/>
  <c r="M18" i="169"/>
  <c r="G18" i="169"/>
  <c r="X18" i="169"/>
  <c r="Y18" i="169"/>
  <c r="O18" i="169"/>
  <c r="AD156" i="167"/>
  <c r="AC66" i="169"/>
  <c r="AD156" i="168"/>
  <c r="AC87" i="169"/>
  <c r="X44" i="169"/>
  <c r="AE155" i="167"/>
  <c r="AD65" i="169"/>
  <c r="AD155" i="168"/>
  <c r="AC86" i="169"/>
  <c r="E21" i="169"/>
  <c r="E155" i="89"/>
  <c r="AH16" i="169"/>
  <c r="AH11" i="169"/>
  <c r="AG16" i="169"/>
  <c r="AG11" i="169"/>
  <c r="F16" i="169"/>
  <c r="F11" i="169"/>
  <c r="C149" i="166"/>
  <c r="C38" i="169"/>
  <c r="C144" i="166"/>
  <c r="C33" i="169"/>
  <c r="Y135" i="166"/>
  <c r="Z131" i="166"/>
  <c r="Z135" i="166"/>
  <c r="AA131" i="166"/>
  <c r="AA135" i="166"/>
  <c r="AB131" i="166"/>
  <c r="AB135" i="166"/>
  <c r="AC131" i="166"/>
  <c r="AC135" i="166"/>
  <c r="AD131" i="166"/>
  <c r="AD135" i="166"/>
  <c r="AE131" i="166"/>
  <c r="AE135" i="166"/>
  <c r="AF131" i="166"/>
  <c r="AF135" i="166"/>
  <c r="AG131" i="166"/>
  <c r="AG135" i="166"/>
  <c r="AH131" i="166"/>
  <c r="AH135" i="166"/>
  <c r="AI131" i="166"/>
  <c r="AI135" i="166"/>
  <c r="C150" i="89"/>
  <c r="C18" i="169"/>
  <c r="E23" i="169"/>
  <c r="Y43" i="169"/>
  <c r="Y156" i="166"/>
  <c r="AE156" i="168"/>
  <c r="AD87" i="169"/>
  <c r="AF155" i="167"/>
  <c r="AE65" i="169"/>
  <c r="AE155" i="168"/>
  <c r="AD86" i="169"/>
  <c r="AE156" i="167"/>
  <c r="AD66" i="169"/>
  <c r="G16" i="169"/>
  <c r="G11" i="169"/>
  <c r="AE16" i="169"/>
  <c r="AE11" i="169"/>
  <c r="AF16" i="169"/>
  <c r="AF11" i="169"/>
  <c r="AI16" i="169"/>
  <c r="AI11" i="169"/>
  <c r="Y126" i="166"/>
  <c r="Z126" i="166"/>
  <c r="AA126" i="166"/>
  <c r="AB126" i="166"/>
  <c r="AC126" i="166"/>
  <c r="AD126" i="166"/>
  <c r="AE126" i="166"/>
  <c r="AF126" i="166"/>
  <c r="AG126" i="166"/>
  <c r="AH126" i="166"/>
  <c r="AI126" i="166"/>
  <c r="AG155" i="167"/>
  <c r="AF65" i="169"/>
  <c r="Y42" i="169"/>
  <c r="E5" i="172"/>
  <c r="Y155" i="166"/>
  <c r="AF156" i="168"/>
  <c r="AE87" i="169"/>
  <c r="Z156" i="166"/>
  <c r="Y45" i="169"/>
  <c r="AF155" i="168"/>
  <c r="AE86" i="169"/>
  <c r="AF156" i="167"/>
  <c r="AE66" i="169"/>
  <c r="Y152" i="166"/>
  <c r="H16" i="169"/>
  <c r="H11" i="169"/>
  <c r="AA156" i="166"/>
  <c r="Z45" i="169"/>
  <c r="Y41" i="169"/>
  <c r="C41" i="169"/>
  <c r="AG156" i="168"/>
  <c r="AF87" i="169"/>
  <c r="Z155" i="166"/>
  <c r="Y44" i="169"/>
  <c r="AG156" i="167"/>
  <c r="AF66" i="169"/>
  <c r="AG155" i="168"/>
  <c r="AF86" i="169"/>
  <c r="AH155" i="167"/>
  <c r="AG65" i="169"/>
  <c r="I16" i="169"/>
  <c r="I11" i="169"/>
  <c r="AI155" i="167"/>
  <c r="AH65" i="169"/>
  <c r="AH156" i="168"/>
  <c r="AG87" i="169"/>
  <c r="AH155" i="168"/>
  <c r="AG86" i="169"/>
  <c r="AA155" i="166"/>
  <c r="Z44" i="169"/>
  <c r="AH156" i="167"/>
  <c r="AG66" i="169"/>
  <c r="AB156" i="166"/>
  <c r="AA45" i="169"/>
  <c r="K16" i="169"/>
  <c r="K11" i="169"/>
  <c r="J16" i="169"/>
  <c r="AB155" i="166"/>
  <c r="AA44" i="169"/>
  <c r="AI155" i="168"/>
  <c r="AH86" i="169"/>
  <c r="AC156" i="166"/>
  <c r="AB45" i="169"/>
  <c r="AI156" i="168"/>
  <c r="AH87" i="169"/>
  <c r="AI156" i="167"/>
  <c r="AH66" i="169"/>
  <c r="AI65" i="169"/>
  <c r="C155" i="167"/>
  <c r="C65" i="169"/>
  <c r="L16" i="169"/>
  <c r="L11" i="169"/>
  <c r="J11" i="169"/>
  <c r="AD156" i="166"/>
  <c r="AC45" i="169"/>
  <c r="AI86" i="169"/>
  <c r="C155" i="168"/>
  <c r="C86" i="169"/>
  <c r="AI87" i="169"/>
  <c r="C156" i="168"/>
  <c r="C87" i="169"/>
  <c r="AI66" i="169"/>
  <c r="C156" i="167"/>
  <c r="C66" i="169"/>
  <c r="AC155" i="166"/>
  <c r="AB44" i="169"/>
  <c r="M16" i="169"/>
  <c r="M11" i="169"/>
  <c r="AD155" i="166"/>
  <c r="AC44" i="169"/>
  <c r="AE156" i="166"/>
  <c r="AD45" i="169"/>
  <c r="N16" i="169"/>
  <c r="N11" i="169"/>
  <c r="AF156" i="166"/>
  <c r="AE45" i="169"/>
  <c r="AE155" i="166"/>
  <c r="AD44" i="169"/>
  <c r="O16" i="169"/>
  <c r="O11" i="169"/>
  <c r="AF155" i="166"/>
  <c r="AE44" i="169"/>
  <c r="AG156" i="166"/>
  <c r="AF45" i="169"/>
  <c r="P16" i="169"/>
  <c r="P11" i="169"/>
  <c r="AH156" i="166"/>
  <c r="AG45" i="169"/>
  <c r="AG155" i="166"/>
  <c r="AF44" i="169"/>
  <c r="Q16" i="169"/>
  <c r="Q11" i="169"/>
  <c r="AH155" i="166"/>
  <c r="AG44" i="169"/>
  <c r="AI156" i="166"/>
  <c r="AH45" i="169"/>
  <c r="R11" i="169"/>
  <c r="R16" i="169"/>
  <c r="AI45" i="169"/>
  <c r="C156" i="166"/>
  <c r="C45" i="169"/>
  <c r="AI155" i="166"/>
  <c r="AH44" i="169"/>
  <c r="S16" i="169"/>
  <c r="S11" i="169"/>
  <c r="AI44" i="169"/>
  <c r="C155" i="166"/>
  <c r="C44" i="169"/>
  <c r="T16" i="169"/>
  <c r="T11" i="169"/>
  <c r="I30" i="89"/>
  <c r="U16" i="169"/>
  <c r="U11" i="169"/>
  <c r="V16" i="169"/>
  <c r="V11" i="169"/>
  <c r="W16" i="169"/>
  <c r="W11" i="169"/>
  <c r="X16" i="169"/>
  <c r="X11" i="169"/>
  <c r="Y16" i="169"/>
  <c r="Y11" i="169"/>
  <c r="Z11" i="169"/>
  <c r="Z16" i="169"/>
  <c r="AA16" i="169"/>
  <c r="AA11" i="169"/>
  <c r="AB16" i="169"/>
  <c r="AB11" i="169"/>
  <c r="AC16" i="169"/>
  <c r="AC11" i="169"/>
  <c r="AD16" i="169"/>
  <c r="AD11" i="169"/>
  <c r="C143" i="89"/>
  <c r="C11" i="169"/>
  <c r="C148" i="89"/>
  <c r="C16" i="169"/>
  <c r="E80" i="89"/>
  <c r="E152" i="89"/>
  <c r="E20" i="169"/>
  <c r="E22" i="169"/>
  <c r="E156" i="89"/>
  <c r="F12" i="169"/>
  <c r="F17" i="169"/>
  <c r="F135" i="89"/>
  <c r="G131" i="89"/>
  <c r="E24" i="169"/>
  <c r="G135" i="89"/>
  <c r="G12" i="169"/>
  <c r="G17" i="169"/>
  <c r="H131" i="89"/>
  <c r="H135" i="89"/>
  <c r="I131" i="89"/>
  <c r="H17" i="169"/>
  <c r="H12" i="169"/>
  <c r="I135" i="89"/>
  <c r="J131" i="89"/>
  <c r="I12" i="169"/>
  <c r="I17" i="169"/>
  <c r="J135" i="89"/>
  <c r="K131" i="89"/>
  <c r="J12" i="169"/>
  <c r="J17" i="169"/>
  <c r="K135" i="89"/>
  <c r="L131" i="89"/>
  <c r="K17" i="169"/>
  <c r="K12" i="169"/>
  <c r="L135" i="89"/>
  <c r="M131" i="89"/>
  <c r="L17" i="169"/>
  <c r="L12" i="169"/>
  <c r="M135" i="89"/>
  <c r="N131" i="89"/>
  <c r="M12" i="169"/>
  <c r="M17" i="169"/>
  <c r="N135" i="89"/>
  <c r="O131" i="89"/>
  <c r="N12" i="169"/>
  <c r="N17" i="169"/>
  <c r="O135" i="89"/>
  <c r="P131" i="89"/>
  <c r="O17" i="169"/>
  <c r="O12" i="169"/>
  <c r="P135" i="89"/>
  <c r="Q131" i="89"/>
  <c r="P12" i="169"/>
  <c r="P17" i="169"/>
  <c r="Q135" i="89"/>
  <c r="R131" i="89"/>
  <c r="Q12" i="169"/>
  <c r="Q17" i="169"/>
  <c r="R135" i="89"/>
  <c r="S131" i="89"/>
  <c r="R12" i="169"/>
  <c r="R17" i="169"/>
  <c r="S135" i="89"/>
  <c r="T131" i="89"/>
  <c r="S17" i="169"/>
  <c r="S12" i="169"/>
  <c r="T135" i="89"/>
  <c r="U131" i="89"/>
  <c r="T17" i="169"/>
  <c r="T12" i="169"/>
  <c r="U135" i="89"/>
  <c r="V131" i="89"/>
  <c r="T89" i="89"/>
  <c r="U85" i="89"/>
  <c r="U12" i="169"/>
  <c r="U17" i="169"/>
  <c r="V135" i="89"/>
  <c r="W131" i="89"/>
  <c r="W135" i="89"/>
  <c r="X131" i="89"/>
  <c r="X135" i="89"/>
  <c r="Y131" i="89"/>
  <c r="Y135" i="89"/>
  <c r="Z131" i="89"/>
  <c r="Z135" i="89"/>
  <c r="AA131" i="89"/>
  <c r="AA135" i="89"/>
  <c r="AB131" i="89"/>
  <c r="AB135" i="89"/>
  <c r="AC131" i="89"/>
  <c r="AC135" i="89"/>
  <c r="AD131" i="89"/>
  <c r="AD135" i="89"/>
  <c r="AE131" i="89"/>
  <c r="AE135" i="89"/>
  <c r="AF131" i="89"/>
  <c r="AF135" i="89"/>
  <c r="AG131" i="89"/>
  <c r="AG135" i="89"/>
  <c r="AH131" i="89"/>
  <c r="AH135" i="89"/>
  <c r="U89" i="89"/>
  <c r="AI131" i="89"/>
  <c r="AI135" i="89"/>
  <c r="V85" i="89"/>
  <c r="V12" i="169"/>
  <c r="V17" i="169"/>
  <c r="S15" i="169"/>
  <c r="S21" i="169"/>
  <c r="Q15" i="169"/>
  <c r="Q21" i="169"/>
  <c r="N15" i="169"/>
  <c r="N21" i="169"/>
  <c r="V89" i="89"/>
  <c r="M15" i="169"/>
  <c r="M21" i="169"/>
  <c r="K15" i="169"/>
  <c r="K21" i="169"/>
  <c r="F15" i="169"/>
  <c r="L15" i="169"/>
  <c r="L21" i="169"/>
  <c r="P15" i="169"/>
  <c r="P21" i="169"/>
  <c r="K152" i="89"/>
  <c r="K20" i="169"/>
  <c r="U15" i="169"/>
  <c r="U21" i="169"/>
  <c r="J22" i="169"/>
  <c r="I15" i="169"/>
  <c r="I21" i="169"/>
  <c r="J15" i="169"/>
  <c r="J21" i="169"/>
  <c r="O15" i="169"/>
  <c r="O21" i="169"/>
  <c r="H15" i="169"/>
  <c r="H21" i="169"/>
  <c r="G15" i="169"/>
  <c r="G21" i="169"/>
  <c r="R15" i="169"/>
  <c r="R21" i="169"/>
  <c r="T15" i="169"/>
  <c r="T21" i="169"/>
  <c r="F126" i="89"/>
  <c r="G126" i="89"/>
  <c r="H126" i="89"/>
  <c r="I126" i="89"/>
  <c r="J126" i="89"/>
  <c r="K126" i="89"/>
  <c r="L126" i="89"/>
  <c r="M126" i="89"/>
  <c r="N126" i="89"/>
  <c r="O126" i="89"/>
  <c r="P126" i="89"/>
  <c r="Q126" i="89"/>
  <c r="R126" i="89"/>
  <c r="S126" i="89"/>
  <c r="T126" i="89"/>
  <c r="U126" i="89"/>
  <c r="W85" i="89"/>
  <c r="F21" i="169"/>
  <c r="F155" i="89"/>
  <c r="K22" i="169"/>
  <c r="G152" i="89"/>
  <c r="G20" i="169"/>
  <c r="G22" i="169"/>
  <c r="J152" i="89"/>
  <c r="J20" i="169"/>
  <c r="I152" i="89"/>
  <c r="I20" i="169"/>
  <c r="I22" i="169"/>
  <c r="R22" i="169"/>
  <c r="S152" i="89"/>
  <c r="S20" i="169"/>
  <c r="Q22" i="169"/>
  <c r="N152" i="89"/>
  <c r="N20" i="169"/>
  <c r="F152" i="89"/>
  <c r="W12" i="169"/>
  <c r="W17" i="169"/>
  <c r="F80" i="89"/>
  <c r="G80" i="89"/>
  <c r="H80" i="89"/>
  <c r="I80" i="89"/>
  <c r="J80" i="89"/>
  <c r="K80" i="89"/>
  <c r="F23" i="169"/>
  <c r="G155" i="89"/>
  <c r="F20" i="169"/>
  <c r="F22" i="169"/>
  <c r="F156" i="89"/>
  <c r="S22" i="169"/>
  <c r="Q152" i="89"/>
  <c r="Q20" i="169"/>
  <c r="P152" i="89"/>
  <c r="P20" i="169"/>
  <c r="M152" i="89"/>
  <c r="M20" i="169"/>
  <c r="P22" i="169"/>
  <c r="H22" i="169"/>
  <c r="H152" i="89"/>
  <c r="H20" i="169"/>
  <c r="U22" i="169"/>
  <c r="M22" i="169"/>
  <c r="U152" i="89"/>
  <c r="U20" i="169"/>
  <c r="T22" i="169"/>
  <c r="N22" i="169"/>
  <c r="O22" i="169"/>
  <c r="R152" i="89"/>
  <c r="R20" i="169"/>
  <c r="W89" i="89"/>
  <c r="L80" i="89"/>
  <c r="M80" i="89"/>
  <c r="N80" i="89"/>
  <c r="O80" i="89"/>
  <c r="P80" i="89"/>
  <c r="Q80" i="89"/>
  <c r="R80" i="89"/>
  <c r="S80" i="89"/>
  <c r="T80" i="89"/>
  <c r="U80" i="89"/>
  <c r="V80" i="89"/>
  <c r="G156" i="89"/>
  <c r="F24" i="169"/>
  <c r="H155" i="89"/>
  <c r="G23" i="169"/>
  <c r="V22" i="169"/>
  <c r="T152" i="89"/>
  <c r="T20" i="169"/>
  <c r="L152" i="89"/>
  <c r="L20" i="169"/>
  <c r="O152" i="89"/>
  <c r="O20" i="169"/>
  <c r="V126" i="89"/>
  <c r="X85" i="89"/>
  <c r="L22" i="169"/>
  <c r="H23" i="169"/>
  <c r="I155" i="89"/>
  <c r="V21" i="169"/>
  <c r="H156" i="89"/>
  <c r="G24" i="169"/>
  <c r="V152" i="89"/>
  <c r="V20" i="169"/>
  <c r="V15" i="169"/>
  <c r="X17" i="169"/>
  <c r="X12" i="169"/>
  <c r="W80" i="89"/>
  <c r="J155" i="89"/>
  <c r="I23" i="169"/>
  <c r="I156" i="89"/>
  <c r="H24" i="169"/>
  <c r="X89" i="89"/>
  <c r="W22" i="169"/>
  <c r="J156" i="89"/>
  <c r="I24" i="169"/>
  <c r="K155" i="89"/>
  <c r="J23" i="169"/>
  <c r="W126" i="89"/>
  <c r="Y85" i="89"/>
  <c r="K156" i="89"/>
  <c r="J24" i="169"/>
  <c r="L155" i="89"/>
  <c r="K23" i="169"/>
  <c r="W21" i="169"/>
  <c r="W152" i="89"/>
  <c r="W15" i="169"/>
  <c r="Y12" i="169"/>
  <c r="Y17" i="169"/>
  <c r="X80" i="89"/>
  <c r="W20" i="169"/>
  <c r="M155" i="89"/>
  <c r="L23" i="169"/>
  <c r="L156" i="89"/>
  <c r="K24" i="169"/>
  <c r="Y89" i="89"/>
  <c r="M156" i="89"/>
  <c r="L24" i="169"/>
  <c r="N155" i="89"/>
  <c r="M23" i="169"/>
  <c r="X22" i="169"/>
  <c r="X126" i="89"/>
  <c r="Z85" i="89"/>
  <c r="X21" i="169"/>
  <c r="O155" i="89"/>
  <c r="N23" i="169"/>
  <c r="N156" i="89"/>
  <c r="M24" i="169"/>
  <c r="X152" i="89"/>
  <c r="X20" i="169"/>
  <c r="X15" i="169"/>
  <c r="Z12" i="169"/>
  <c r="Z17" i="169"/>
  <c r="Y80" i="89"/>
  <c r="O156" i="89"/>
  <c r="N24" i="169"/>
  <c r="P155" i="89"/>
  <c r="O23" i="169"/>
  <c r="Y22" i="169"/>
  <c r="Z89" i="89"/>
  <c r="Q155" i="89"/>
  <c r="P23" i="169"/>
  <c r="P156" i="89"/>
  <c r="O24" i="169"/>
  <c r="Y126" i="89"/>
  <c r="Y21" i="169"/>
  <c r="AA85" i="89"/>
  <c r="Q156" i="89"/>
  <c r="P24" i="169"/>
  <c r="R155" i="89"/>
  <c r="Q23" i="169"/>
  <c r="Y152" i="89"/>
  <c r="Y20" i="169"/>
  <c r="Y15" i="169"/>
  <c r="AA17" i="169"/>
  <c r="AA12" i="169"/>
  <c r="Z80" i="89"/>
  <c r="S155" i="89"/>
  <c r="R23" i="169"/>
  <c r="R156" i="89"/>
  <c r="Q24" i="169"/>
  <c r="Z22" i="169"/>
  <c r="AA89" i="89"/>
  <c r="S156" i="89"/>
  <c r="R24" i="169"/>
  <c r="T155" i="89"/>
  <c r="S23" i="169"/>
  <c r="Z126" i="89"/>
  <c r="Z21" i="169"/>
  <c r="AB85" i="89"/>
  <c r="U155" i="89"/>
  <c r="T23" i="169"/>
  <c r="T156" i="89"/>
  <c r="S24" i="169"/>
  <c r="Z152" i="89"/>
  <c r="Z20" i="169"/>
  <c r="Z15" i="169"/>
  <c r="AB17" i="169"/>
  <c r="AB12" i="169"/>
  <c r="AA80" i="89"/>
  <c r="U156" i="89"/>
  <c r="T24" i="169"/>
  <c r="V155" i="89"/>
  <c r="U23" i="169"/>
  <c r="AA22" i="169"/>
  <c r="AB89" i="89"/>
  <c r="W155" i="89"/>
  <c r="V23" i="169"/>
  <c r="V156" i="89"/>
  <c r="U24" i="169"/>
  <c r="AA126" i="89"/>
  <c r="AA21" i="169"/>
  <c r="AC85" i="89"/>
  <c r="W156" i="89"/>
  <c r="V24" i="169"/>
  <c r="X155" i="89"/>
  <c r="W23" i="169"/>
  <c r="AA152" i="89"/>
  <c r="AA20" i="169"/>
  <c r="AA15" i="169"/>
  <c r="AC12" i="169"/>
  <c r="AC17" i="169"/>
  <c r="AB80" i="89"/>
  <c r="Y155" i="89"/>
  <c r="X23" i="169"/>
  <c r="X156" i="89"/>
  <c r="W24" i="169"/>
  <c r="AB22" i="169"/>
  <c r="AC89" i="89"/>
  <c r="Y156" i="89"/>
  <c r="X24" i="169"/>
  <c r="Z155" i="89"/>
  <c r="Y23" i="169"/>
  <c r="AB126" i="89"/>
  <c r="AB21" i="169"/>
  <c r="AD85" i="89"/>
  <c r="AA155" i="89"/>
  <c r="Z23" i="169"/>
  <c r="Z156" i="89"/>
  <c r="Y24" i="169"/>
  <c r="AB152" i="89"/>
  <c r="AB20" i="169"/>
  <c r="AB15" i="169"/>
  <c r="AD12" i="169"/>
  <c r="AD17" i="169"/>
  <c r="AC80" i="89"/>
  <c r="AA156" i="89"/>
  <c r="Z24" i="169"/>
  <c r="AB155" i="89"/>
  <c r="AA23" i="169"/>
  <c r="AC22" i="169"/>
  <c r="AD89" i="89"/>
  <c r="AB23" i="169"/>
  <c r="AB156" i="89"/>
  <c r="AA24" i="169"/>
  <c r="AC126" i="89"/>
  <c r="AC21" i="169"/>
  <c r="AE85" i="89"/>
  <c r="AC156" i="89"/>
  <c r="AB24" i="169"/>
  <c r="AC155" i="89"/>
  <c r="AC152" i="89"/>
  <c r="AC20" i="169"/>
  <c r="AC15" i="169"/>
  <c r="AD80" i="89"/>
  <c r="AE17" i="169"/>
  <c r="AE12" i="169"/>
  <c r="AC23" i="169"/>
  <c r="AC24" i="169"/>
  <c r="AD22" i="169"/>
  <c r="AE89" i="89"/>
  <c r="AD156" i="89"/>
  <c r="AD126" i="89"/>
  <c r="AF85" i="89"/>
  <c r="AD21" i="169"/>
  <c r="AD155" i="89"/>
  <c r="AD24" i="169"/>
  <c r="AD152" i="89"/>
  <c r="AD20" i="169"/>
  <c r="AD15" i="169"/>
  <c r="AF17" i="169"/>
  <c r="AF12" i="169"/>
  <c r="AE80" i="89"/>
  <c r="AD23" i="169"/>
  <c r="AE126" i="89"/>
  <c r="AE21" i="169"/>
  <c r="AF89" i="89"/>
  <c r="AE22" i="169"/>
  <c r="AE156" i="89"/>
  <c r="AE155" i="89"/>
  <c r="AE15" i="169"/>
  <c r="AE152" i="89"/>
  <c r="AE20" i="169"/>
  <c r="AG85" i="89"/>
  <c r="AE23" i="169"/>
  <c r="AE24" i="169"/>
  <c r="AG12" i="169"/>
  <c r="AG17" i="169"/>
  <c r="AF80" i="89"/>
  <c r="AF126" i="89"/>
  <c r="AG89" i="89"/>
  <c r="AF21" i="169"/>
  <c r="AF155" i="89"/>
  <c r="AF22" i="169"/>
  <c r="AF156" i="89"/>
  <c r="AF152" i="89"/>
  <c r="AF20" i="169"/>
  <c r="AF15" i="169"/>
  <c r="AH85" i="89"/>
  <c r="AF24" i="169"/>
  <c r="AF23" i="169"/>
  <c r="AH12" i="169"/>
  <c r="AH17" i="169"/>
  <c r="AG80" i="89"/>
  <c r="AG126" i="89"/>
  <c r="AH89" i="89"/>
  <c r="AG21" i="169"/>
  <c r="AG155" i="89"/>
  <c r="AG22" i="169"/>
  <c r="AG156" i="89"/>
  <c r="AG152" i="89"/>
  <c r="AG20" i="169"/>
  <c r="AG15" i="169"/>
  <c r="AI85" i="89"/>
  <c r="AH80" i="89"/>
  <c r="AG24" i="169"/>
  <c r="AG23" i="169"/>
  <c r="AH22" i="169"/>
  <c r="AI17" i="169"/>
  <c r="AI12" i="169"/>
  <c r="AH156" i="89"/>
  <c r="C149" i="89"/>
  <c r="C17" i="169"/>
  <c r="C144" i="89"/>
  <c r="C12" i="169"/>
  <c r="AH126" i="89"/>
  <c r="AI89" i="89"/>
  <c r="AH21" i="169"/>
  <c r="AH155" i="89"/>
  <c r="AH24" i="169"/>
  <c r="AH152" i="89"/>
  <c r="AH20" i="169"/>
  <c r="AH15" i="169"/>
  <c r="AH23" i="169"/>
  <c r="AI126" i="89"/>
  <c r="AI80" i="89"/>
  <c r="AI15" i="169"/>
  <c r="AI152" i="89"/>
  <c r="AI22" i="169"/>
  <c r="AI156" i="89"/>
  <c r="AI21" i="169"/>
  <c r="C21" i="169"/>
  <c r="E4" i="172"/>
  <c r="AI155" i="89"/>
  <c r="AI20" i="169"/>
  <c r="C20" i="169"/>
  <c r="C155" i="89"/>
  <c r="C23" i="169"/>
  <c r="AI23" i="169"/>
  <c r="C156" i="89"/>
  <c r="C24" i="169"/>
  <c r="AI24" i="1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5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5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6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6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7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7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8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8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sharedStrings.xml><?xml version="1.0" encoding="utf-8"?>
<sst xmlns="http://schemas.openxmlformats.org/spreadsheetml/2006/main" count="1474" uniqueCount="268">
  <si>
    <t>Federal Tax Rate</t>
  </si>
  <si>
    <t>State Tax Rate</t>
  </si>
  <si>
    <t>Loan Period</t>
  </si>
  <si>
    <t>Year</t>
  </si>
  <si>
    <t>Years</t>
  </si>
  <si>
    <t>$/kWh</t>
  </si>
  <si>
    <t>Project and Customer Cost Assumptions</t>
  </si>
  <si>
    <t>Cash</t>
  </si>
  <si>
    <t>Loan</t>
  </si>
  <si>
    <t>Watts (DC STC)</t>
  </si>
  <si>
    <t>Federal Tax Credit</t>
  </si>
  <si>
    <t>Annual Net Capacity Factor</t>
  </si>
  <si>
    <t>$/Watt (DC STC)</t>
  </si>
  <si>
    <t>Annual Generation (kWh)</t>
  </si>
  <si>
    <t>Project Performance and Savings/ Cost Assumptions</t>
  </si>
  <si>
    <t>REC Revenue</t>
  </si>
  <si>
    <t>Electricity Revenue (Avoided Costs)</t>
  </si>
  <si>
    <t>Electricity Revenue (Avoided Costs) Annual Adjustor</t>
  </si>
  <si>
    <t>%</t>
  </si>
  <si>
    <t>Annual Operations and Maintenance Cost</t>
  </si>
  <si>
    <t>Annual Production Degradation</t>
  </si>
  <si>
    <t>Years (must be equal to or less than project life)</t>
  </si>
  <si>
    <t>Annual Operations and Maintenance Adjustor</t>
  </si>
  <si>
    <t>Future Inverter Replacement Cost</t>
  </si>
  <si>
    <t>Year (must be equal to or less than project life)</t>
  </si>
  <si>
    <t>Tax Assumptions</t>
  </si>
  <si>
    <t>Financing Assumptions</t>
  </si>
  <si>
    <t>Select Taxable or Non-Taxable Entity</t>
  </si>
  <si>
    <t>Solar Photovoltaic System Size</t>
  </si>
  <si>
    <t>$/Year</t>
  </si>
  <si>
    <t>Inverter Replacement Cost</t>
  </si>
  <si>
    <t>Project Output</t>
  </si>
  <si>
    <t>Operations &amp; Maintenance Costs</t>
  </si>
  <si>
    <t>Total Operating Expenses</t>
  </si>
  <si>
    <t>Inverter Life, Replace Every X Years</t>
  </si>
  <si>
    <t>EBITDA</t>
  </si>
  <si>
    <t>Effective Tax Rate</t>
  </si>
  <si>
    <t xml:space="preserve">EBIT </t>
  </si>
  <si>
    <t>Interest Expense</t>
  </si>
  <si>
    <t>EBT</t>
  </si>
  <si>
    <t>Net Income</t>
  </si>
  <si>
    <t>Beginning Balance</t>
  </si>
  <si>
    <t>Debt Service</t>
  </si>
  <si>
    <t>Principle</t>
  </si>
  <si>
    <t>Interest</t>
  </si>
  <si>
    <t>Ending Balance</t>
  </si>
  <si>
    <t>Cash From Investing</t>
  </si>
  <si>
    <t>Cash Flow From Investing</t>
  </si>
  <si>
    <t>Cash From Financing</t>
  </si>
  <si>
    <t>Loan Disbursement</t>
  </si>
  <si>
    <t>Loan Repayment (Principle)</t>
  </si>
  <si>
    <t>Cash Flow From Financing</t>
  </si>
  <si>
    <t>INCOME STATEMENT</t>
  </si>
  <si>
    <t>CASH FLOW STATEMENT</t>
  </si>
  <si>
    <t>Key</t>
  </si>
  <si>
    <t>PRO FORMA AND PRODUCTION</t>
  </si>
  <si>
    <t>Federal Depreciation Expense</t>
  </si>
  <si>
    <t>Federal taxes saved/(paid)</t>
  </si>
  <si>
    <t>State taxes saved/(paid) [can not deduct federal depreciation expense]</t>
  </si>
  <si>
    <t>Cumulative Cash Flow</t>
  </si>
  <si>
    <t>Annual Cash Flow</t>
  </si>
  <si>
    <t>One Time Federal Solar Investment Tax Credit</t>
  </si>
  <si>
    <t>Total System Cost/Watt</t>
  </si>
  <si>
    <t xml:space="preserve">Total System Cost </t>
  </si>
  <si>
    <t>Loan Interest Rate</t>
  </si>
  <si>
    <t>Depreciation</t>
  </si>
  <si>
    <t>Asset Basis</t>
  </si>
  <si>
    <t>Gross Cost</t>
  </si>
  <si>
    <t>FINANCIAL SCHEDULES</t>
  </si>
  <si>
    <t>Rebate$ per/Watt</t>
  </si>
  <si>
    <t>Total Rebate</t>
  </si>
  <si>
    <t>Net Cost</t>
  </si>
  <si>
    <t>Less 50% of Federal Tax Credit</t>
  </si>
  <si>
    <t>Annual Operations and Maintenance Cost Factor</t>
  </si>
  <si>
    <t>$/kW/Year</t>
  </si>
  <si>
    <t>Solar Photovoltaic Project Simple Financial Model</t>
  </si>
  <si>
    <t>Disclaimer: This Unofficial Cash Flow Model is intended to provide non-residential entities that are considering the purchase and installation of solar energy equipment with a general understanding of possible financial implications of such purchase and installation.  Those entities interested in learning more about the financial implications of the purchase and installation of solar energy equipment are urged to consult their own tax and financial experts.  The information contained in the Unofficial Cash Flow Model may not be relied on by anyone for any purposes.   Furthermore, the information contained in this model does not necessarily reflect the views of the Department of Energy Resources or the Commonwealth of Massachusetts, and reference to any specific method does not constitute an implied or expressed recommendation or endorsement of it.  Neither the Department of Energy Resources nor the Commonwealth of Massachusetts make any warranties or representations, expressed or implied, as to the usefulness, completeness, or accuracy of any processes, methods or other information contained, described, disclosed, or referred to in this model. Finally, neither the Department of Energy Resources nor the Commonwealth of Massachusetts makes any representation that the use of any product, apparatus, process, method, or other information will not infringe privately owned property rights and assumes no liability of any kind or nature for any loss, injury, or damage directly or indirectly resulting from, or occurring in connection with, the use of information contained, described, disclosed, or referred to in this Unofficial Cash Flow Model.</t>
  </si>
  <si>
    <t>One Time State Solar Investment Tax Credit</t>
  </si>
  <si>
    <t>Taxable (Residential)</t>
  </si>
  <si>
    <t>Taxable (Corporation)</t>
  </si>
  <si>
    <t>Non-Taxable</t>
  </si>
  <si>
    <t>Electric or Net-Metering Off-taker Discount</t>
  </si>
  <si>
    <t>Project Type</t>
  </si>
  <si>
    <t>Total</t>
  </si>
  <si>
    <t>Electric or Net-Metering Off-Taker Discount</t>
  </si>
  <si>
    <t>Electricity Retail Annual Escalation Rate</t>
  </si>
  <si>
    <t>Third Party</t>
  </si>
  <si>
    <t>per kWh</t>
  </si>
  <si>
    <t>Percent Project Cost Financed w/ Cash</t>
  </si>
  <si>
    <t>Loan Annual Interest Rate</t>
  </si>
  <si>
    <t>Loan Term</t>
  </si>
  <si>
    <t>years</t>
  </si>
  <si>
    <t>Discount Rate for NPV</t>
  </si>
  <si>
    <t>Calculated Cells</t>
  </si>
  <si>
    <t>Sheet ID</t>
  </si>
  <si>
    <t>5 Year Accelerated Schd (MACRS)</t>
  </si>
  <si>
    <t>State/CEC Rebate</t>
  </si>
  <si>
    <t>Off-Taker Discounts</t>
  </si>
  <si>
    <t xml:space="preserve">Total Revenue </t>
  </si>
  <si>
    <t>Total Revenue - Total Operating Expenses</t>
  </si>
  <si>
    <t>MACRS</t>
  </si>
  <si>
    <t>none</t>
  </si>
  <si>
    <t>Depreciation Life (for Starndard SL Depreciation, only)</t>
  </si>
  <si>
    <t>Cash From Operations (Net Income - Fed Depr Exp)</t>
  </si>
  <si>
    <t>Financial Model adapted by UMass Clean Energy Extension to analyze Cash Flow of Economic Rents of Solar Projects (2019, 2020).</t>
  </si>
  <si>
    <t>Yes</t>
  </si>
  <si>
    <t>No</t>
  </si>
  <si>
    <t>O&amp;M escalation rate</t>
  </si>
  <si>
    <t xml:space="preserve">   PILOT / Lease Payment Agreement</t>
  </si>
  <si>
    <t>Solar Tariff Rate</t>
  </si>
  <si>
    <t>per MWh</t>
  </si>
  <si>
    <t>Displaced Electricity Value</t>
  </si>
  <si>
    <t>Investment Year</t>
  </si>
  <si>
    <t>REC price (post Tariff)</t>
  </si>
  <si>
    <t>REC Price (post tariff)</t>
  </si>
  <si>
    <t>Solar Installed Cost</t>
  </si>
  <si>
    <t>Solar Array Capacity</t>
  </si>
  <si>
    <t>kW (AC)</t>
  </si>
  <si>
    <t>Owner-ship Flip Year</t>
  </si>
  <si>
    <r>
      <t xml:space="preserve">Flip Buy-Out
</t>
    </r>
    <r>
      <rPr>
        <b/>
        <sz val="8"/>
        <rFont val="Arial"/>
        <family val="2"/>
      </rPr>
      <t>% of Initial or $</t>
    </r>
  </si>
  <si>
    <r>
      <rPr>
        <b/>
        <sz val="8"/>
        <rFont val="Arial"/>
        <family val="2"/>
      </rPr>
      <t>=0 if no flip</t>
    </r>
  </si>
  <si>
    <t>/Watt (DC STC)</t>
  </si>
  <si>
    <t>Solar Tariff Term</t>
  </si>
  <si>
    <t>Project (Cash Flow) Life</t>
  </si>
  <si>
    <t>Solar Tariff Electricity Revenue (followed by Disp Elec Value)</t>
  </si>
  <si>
    <t>Federal ITC</t>
  </si>
  <si>
    <t>State Solar Income Tax Credit</t>
  </si>
  <si>
    <t>Installed PV Cost; Income from Flip Sale</t>
  </si>
  <si>
    <t>Flip Year</t>
  </si>
  <si>
    <t>Flip Price</t>
  </si>
  <si>
    <t>Cash From Financing (Original Loan)</t>
  </si>
  <si>
    <t>DEBT SCHEDULES - Original Loan</t>
  </si>
  <si>
    <t>Loan after Flip</t>
  </si>
  <si>
    <t>Flip / Buyout Loan</t>
  </si>
  <si>
    <t>DEBT SCHEDULES - Flip / Buyout Loan</t>
  </si>
  <si>
    <t>Cash Flow Recipients</t>
  </si>
  <si>
    <t>Flip/Buyout Owner</t>
  </si>
  <si>
    <t>Original Owner</t>
  </si>
  <si>
    <t>PV Investment from Flip Sale</t>
  </si>
  <si>
    <t>Percent of Offtakers in Local Economy</t>
  </si>
  <si>
    <t>Electric or Net-Metering Off-takers in Local Economy</t>
  </si>
  <si>
    <t>Local Lender</t>
  </si>
  <si>
    <t>Yes / No</t>
  </si>
  <si>
    <t>Lender Local?</t>
  </si>
  <si>
    <t>First Owner Loan</t>
  </si>
  <si>
    <t>Second Owner Loan</t>
  </si>
  <si>
    <t>A</t>
  </si>
  <si>
    <t>B</t>
  </si>
  <si>
    <t>C</t>
  </si>
  <si>
    <t>D</t>
  </si>
  <si>
    <t>Third Party Flip</t>
  </si>
  <si>
    <t>Community Owned (taxable)</t>
  </si>
  <si>
    <t>Community Owned (non-taxable)</t>
  </si>
  <si>
    <t>Local Owner after Flip</t>
  </si>
  <si>
    <t>Local Economy</t>
  </si>
  <si>
    <t>Cash Flow Recipient</t>
  </si>
  <si>
    <t>NPV Cash Flow</t>
  </si>
  <si>
    <t>Discount Rate</t>
  </si>
  <si>
    <t>Sheet ID:  A</t>
  </si>
  <si>
    <t>Offtakers Local Economy</t>
  </si>
  <si>
    <t>Community PILOT / Lease</t>
  </si>
  <si>
    <t>Lender Local Economy</t>
  </si>
  <si>
    <t>Sheet ID:  B</t>
  </si>
  <si>
    <t>Sheet ID:  C</t>
  </si>
  <si>
    <t>Sheet ID:  D</t>
  </si>
  <si>
    <t>Outside Economy</t>
  </si>
  <si>
    <t>Original Owner Economy Location</t>
  </si>
  <si>
    <t>Lender Outside Economy</t>
  </si>
  <si>
    <t>Offtakers Outside Economy</t>
  </si>
  <si>
    <t>Original Owner - Local</t>
  </si>
  <si>
    <t>$/W</t>
  </si>
  <si>
    <t>Original Owner - Outside</t>
  </si>
  <si>
    <t>Owner IRR (unlevered)</t>
  </si>
  <si>
    <t>Cumulative  - Local</t>
  </si>
  <si>
    <t>Cumulative  - Outside</t>
  </si>
  <si>
    <t>Fed ITC</t>
  </si>
  <si>
    <t>Project Ownership and Financial Scenario</t>
  </si>
  <si>
    <t>Notes on Inputs</t>
  </si>
  <si>
    <t>Input "all-in" investment cost of installed solar, inclusive of development, permitting and interconnection costs.</t>
  </si>
  <si>
    <t>Federal ITC per IRS code is scheduled to decrease over time, and is regularly subject to legislative change.  Check to confirm current value.</t>
  </si>
  <si>
    <t xml:space="preserve">Enter full retail volumetric (per kWh) rate of electricity bill paid by solar net metering offtakers or solar host. </t>
  </si>
  <si>
    <t>Enter assumption of electricity retail rate escalation over the project period.</t>
  </si>
  <si>
    <t>After the solar tariff term, projects are eligible to generate and sell RPS Class I RECs.  Enter anticipated price.</t>
  </si>
  <si>
    <t>Solar owners typically arrange to sell electricity  to host loads, or net metering credits to "offtakers" at a discount compared to their electric rates.  Host or offtakers use these credits to displace electricity purchased.</t>
  </si>
  <si>
    <t>Offtaker discounts reduce energy expenditures and hence provide more disposable income for residences or revenue for businesses or government.  Enter the extent to which offtakers are located within the Local Economy.</t>
  </si>
  <si>
    <t>For ownership flip scenarios, enter project year in which the project is sold to the second owner.</t>
  </si>
  <si>
    <t>Enter the price paid by the second owner either as a decimal for the % of the project initial cost, or as a set $ value.</t>
  </si>
  <si>
    <t>Tax Status and Benefits for Initial Project Owner</t>
  </si>
  <si>
    <t>Financial Sheets Ref.</t>
  </si>
  <si>
    <t>Non-Taxable (no ITC/MACRS/DebtInt)</t>
  </si>
  <si>
    <t>Taxable (ITC)</t>
  </si>
  <si>
    <t>Taxable (ITC/MACRS/DebtInt)</t>
  </si>
  <si>
    <t>Initial Owner - Location in Economy</t>
  </si>
  <si>
    <t>Drop down menu - Col E</t>
  </si>
  <si>
    <t>Model Version Date:</t>
  </si>
  <si>
    <t xml:space="preserve"> per Model Version No.</t>
  </si>
  <si>
    <t>Community Owned
(non-taxable)</t>
  </si>
  <si>
    <t>Community Owned
(taxable)</t>
  </si>
  <si>
    <t>Lifetime Cash Flow to
Local and Outside Economy</t>
  </si>
  <si>
    <t>NPV of Cash Flow to
Local and Outside Recipients</t>
  </si>
  <si>
    <t>NPV</t>
  </si>
  <si>
    <t xml:space="preserve">Investment Risk
(Debt + Equity) </t>
  </si>
  <si>
    <t>User needs to consider their own geographical extent of the Local Economy.  Typically, third-party owners are located in the Outside Economy, and Community Owners are within the Local Economy.</t>
  </si>
  <si>
    <t>Solar tariff rate in MA (2021) is prescribed by the SMART program, and depends on the attributes of the solar project, the tariff block in which the project is qualified, and the electric distribution territory in which the project is interconnected.  See SMART program guideline and tariff status to confirm tariff rate.
MA Solar Tariff Term is 20 years for projects over 25 kW, and 10 years for projects 25 kW or smaller.</t>
  </si>
  <si>
    <t>Flip Owner Rate of Return</t>
  </si>
  <si>
    <t>For Debt service on the buy-out of the solar project, enter the financial terms. Model does not include loan service fees.
Interest payments to lenders are cash flows that represent business income.  Interest payments to local lenders will accrue to local economy.</t>
  </si>
  <si>
    <t>Annual Operations and Maintenance Cost Factor (include any Escrow payment for decomissioning)</t>
  </si>
  <si>
    <t>$/year (for Project Life)</t>
  </si>
  <si>
    <t>Tax Status impact ability of owner to gain financial tax benefits of the federal Investment Tax Credit (ITC) and MACRS Accelerated Depreciation.  Municipalities, non-profits, and entities without sufficient tax liabilities should choose Non-Taxable.  Tax equity and corporate owners can access ITC and MACRS if sufficient tax liability.  Residential owners with sufficient tax liability can access ITC but not MACRS.</t>
  </si>
  <si>
    <t>Column No. for Vlookup</t>
  </si>
  <si>
    <t>PILOT Payment Agreement</t>
  </si>
  <si>
    <t>Land Lease Payment Agreement</t>
  </si>
  <si>
    <t>Non-residential solar projects typically compensate host municipal government with a Payment In Lieu of Taxes (PILOT).  Enter value in $/year per MW of capacity.</t>
  </si>
  <si>
    <t>Non-residential solar projects typically compensate host land owners through a land lease payment. Enter value in $/year per MW of capacity.</t>
  </si>
  <si>
    <t xml:space="preserve">   PILOT / Lease Payment Agreement (combined)</t>
  </si>
  <si>
    <t>State solar tax credit in MA is limited to $1000 only for resdiential projects.  Enter value in $ if applicable.</t>
  </si>
  <si>
    <t>Ownership Scenario</t>
  </si>
  <si>
    <t>Solar Project Specifications and Federal/State Incentives</t>
  </si>
  <si>
    <t>Net Metering and Local Agreements</t>
  </si>
  <si>
    <t>Loan and Flip Information</t>
  </si>
  <si>
    <t>Fedieral Tax Rate</t>
  </si>
  <si>
    <t>After-tax cash flows are considered as applicable for taxable owners.  Second owners after flip take on project finance after ITC and MACRS, but are assumed taxable and able to benefit from tax reductions on loan interest payments.</t>
  </si>
  <si>
    <r>
      <t xml:space="preserve">Electricity Displaced  Retail Rate </t>
    </r>
    <r>
      <rPr>
        <b/>
        <sz val="8"/>
        <rFont val="Arial"/>
        <family val="2"/>
      </rPr>
      <t>(Year 1)</t>
    </r>
  </si>
  <si>
    <t>annually, per MW</t>
  </si>
  <si>
    <t>Inverter Life, replace Every X Years</t>
  </si>
  <si>
    <t>Years (must be  less than project life)</t>
  </si>
  <si>
    <t>Common Inputs Across all Scenarios</t>
  </si>
  <si>
    <t>Project Operation and Maintenance Costs</t>
  </si>
  <si>
    <t>Federal and State Tax Rates</t>
  </si>
  <si>
    <t>Solar Performance and Lifetime</t>
  </si>
  <si>
    <t>Default Input Values (to restore user inputs if necessary)</t>
  </si>
  <si>
    <t>Discount Rates to Evaluate NPV of Cash Flows to Recipients</t>
  </si>
  <si>
    <t>Enter Discount Rates for calculation of Net Present Values of project cash flows. 
 Discount Rates are applied separately to each recipient, but commonly across  ownership scenarios.</t>
  </si>
  <si>
    <t>Outside Economy (aggregate)</t>
  </si>
  <si>
    <t>Local Economy (aggregate)</t>
  </si>
  <si>
    <t>N/A - sum of Local/Outside</t>
  </si>
  <si>
    <r>
      <t xml:space="preserve">Years </t>
    </r>
    <r>
      <rPr>
        <sz val="8"/>
        <rFont val="Arial"/>
        <family val="2"/>
      </rPr>
      <t>(must be &lt;=30 yrs)</t>
    </r>
  </si>
  <si>
    <t>Inputs Cells
(from "User Inputs" Tab)</t>
  </si>
  <si>
    <r>
      <t xml:space="preserve">Electricity Avoided  Retail Rate </t>
    </r>
    <r>
      <rPr>
        <b/>
        <sz val="8"/>
        <rFont val="Arial"/>
        <family val="2"/>
      </rPr>
      <t>(Year 1)</t>
    </r>
  </si>
  <si>
    <t>Initial Owner
Rate of Return</t>
  </si>
  <si>
    <t>Local Investment Risk (Debt + Equity)</t>
  </si>
  <si>
    <t>Outside Investment Risk (Debt + Equity)</t>
  </si>
  <si>
    <t>Inputs in this Row will copy to each Scenario.  User can override common inputs by entering inputs specific to each Scenario in its Row below.</t>
  </si>
  <si>
    <t>User Inputs</t>
  </si>
  <si>
    <t xml:space="preserve">This sheet provides the full set of input data that effects financial outcomes.  Below the input tables, user can input discount rates to evaluate net present values of project cash flows.
After changing any input values, user can still reference the default values which are provided in a lock table at the bottom of this worksheet.
</t>
  </si>
  <si>
    <t>Tab ID</t>
  </si>
  <si>
    <t>Ownership Scenario Modeled, as more fully described in Model Info.</t>
  </si>
  <si>
    <t>NPV of Cash Flows (including Investment)</t>
  </si>
  <si>
    <t>LOCAL Economy Benefit &amp; Risk</t>
  </si>
  <si>
    <t>OUTSIDE Economy Benefit &amp; Risk</t>
  </si>
  <si>
    <t>For Display only, these cells are locked</t>
  </si>
  <si>
    <t xml:space="preserve">DATA AND FINANCIAL SUMMARY </t>
  </si>
  <si>
    <r>
      <t>$/W</t>
    </r>
    <r>
      <rPr>
        <b/>
        <vertAlign val="subscript"/>
        <sz val="9"/>
        <rFont val="Arial"/>
        <family val="2"/>
      </rPr>
      <t>DC</t>
    </r>
  </si>
  <si>
    <r>
      <t>kW</t>
    </r>
    <r>
      <rPr>
        <b/>
        <vertAlign val="subscript"/>
        <sz val="9"/>
        <rFont val="Arial"/>
        <family val="2"/>
      </rPr>
      <t>DC</t>
    </r>
  </si>
  <si>
    <t>Input specific project size in DC.  Note, capacity and installed cost are correlated and should be entered respectively. Default of 1 MW and $2.10/W is used to represent moderate scale ground-mounted array in MA.</t>
  </si>
  <si>
    <t>Percent Project Cost (after ITC reduction) Financed w/ Cash</t>
  </si>
  <si>
    <t>% of Total Cost Financed w/ Loan</t>
  </si>
  <si>
    <t>% of Total Cost Financed w/ Cash</t>
  </si>
  <si>
    <t>Enter the percentage of the project investment (after ITC is subtracted from the total cost) that is being covered with cash. The amount of the debt service (loan principle) is calculated as the total project cost minus the ITC minus the cash investment.
Model assumes the federal ITC (if applicable) is received at the start of the project, reducing the required initial investment. Note that in some cases the ITC is received over the first several years of the project.
Model does not include loan service fees.
Interest payments to lenders are cash flows that represent business income.  Interest payments to local lenders will accrue to local economy.</t>
  </si>
  <si>
    <t>Input Data Table - Default Values (locked)</t>
  </si>
  <si>
    <t>Data Tables - Cash Flows by Recipient for each Ownership Scenario (consolidated from Tabs A-D)</t>
  </si>
  <si>
    <t>For Display/Graphing only, these cells are locked</t>
  </si>
  <si>
    <t>Financial Model adapted by UMass Clean Energy Extension to analyze Cash Flow of Solar Projects (2019, 2020).  Model was derirved from a MA DOER working version of the NREL CREST model.</t>
  </si>
  <si>
    <t>https://ag.umass.edu/solarplanning</t>
  </si>
  <si>
    <t>Clickable Links</t>
  </si>
  <si>
    <t>ag.umass.edu/solarplanning3</t>
  </si>
  <si>
    <t>Removed protection on Cells D10-E13 on User Inputs</t>
  </si>
  <si>
    <t>Updates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</si>
</sst>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_(&quot;$&quot;* #,##0_);_(&quot;$&quot;* \(#,##0\);_(&quot;$&quot;* &quot;-&quot;??_);_(@_)"/>
    <numFmt numFmtId="166" formatCode="_(* #,##0_);_(* \(#,##0\);_(* &quot;-&quot;??_);_(@_)"/>
    <numFmt numFmtId="167" formatCode="_(&quot;$&quot;* #,##0.000_);_(&quot;$&quot;* \(#,##0.000\);_(&quot;$&quot;* &quot;-&quot;??_);_(@_)"/>
    <numFmt numFmtId="168" formatCode="_(&quot;$&quot;* #,##0.0000_);_(&quot;$&quot;* \(#,##0.0000\);_(&quot;$&quot;* &quot;-&quot;??_);_(@_)"/>
    <numFmt numFmtId="169" formatCode="&quot;$&quot;#,##0.00"/>
    <numFmt numFmtId="170" formatCode="&quot;$&quot;#,##0"/>
    <numFmt numFmtId="171" formatCode="[$$-409]#,##0"/>
  </numFmts>
  <fonts count="56" x14ac:knownFonts="1">
    <font>
      <sz val="10"/>
      <name val="Arial"/>
    </font>
    <font>
      <sz val="10"/>
      <name val="Arial"/>
      <family val="2"/>
    </font>
    <font>
      <b/>
      <sz val="12"/>
      <name val="Arial"/>
      <family val="2"/>
    </font>
    <font>
      <sz val="12"/>
      <name val="Arial"/>
      <family val="2"/>
    </font>
    <font>
      <sz val="12"/>
      <color indexed="8"/>
      <name val="Arial"/>
      <family val="2"/>
    </font>
    <font>
      <sz val="12"/>
      <color indexed="9"/>
      <name val="Arial"/>
      <family val="2"/>
    </font>
    <font>
      <u/>
      <sz val="10"/>
      <color indexed="12"/>
      <name val="Arial"/>
      <family val="2"/>
    </font>
    <font>
      <b/>
      <sz val="16"/>
      <color indexed="9"/>
      <name val="Arial"/>
      <family val="2"/>
    </font>
    <font>
      <b/>
      <sz val="20"/>
      <color indexed="9"/>
      <name val="Arial"/>
      <family val="2"/>
    </font>
    <font>
      <sz val="10"/>
      <color indexed="9"/>
      <name val="Arial"/>
      <family val="2"/>
    </font>
    <font>
      <sz val="8"/>
      <name val="Arial"/>
      <family val="2"/>
    </font>
    <font>
      <b/>
      <sz val="8"/>
      <color indexed="81"/>
      <name val="Tahoma"/>
      <family val="2"/>
    </font>
    <font>
      <b/>
      <i/>
      <sz val="12"/>
      <color indexed="9"/>
      <name val="Arial"/>
      <family val="2"/>
    </font>
    <font>
      <u/>
      <sz val="12"/>
      <color indexed="12"/>
      <name val="Arial"/>
      <family val="2"/>
    </font>
    <font>
      <b/>
      <sz val="14"/>
      <color indexed="9"/>
      <name val="Arial"/>
      <family val="2"/>
    </font>
    <font>
      <sz val="16"/>
      <color indexed="81"/>
      <name val="Tahoma"/>
      <family val="2"/>
    </font>
    <font>
      <sz val="12"/>
      <color theme="0"/>
      <name val="Arial"/>
      <family val="2"/>
    </font>
    <font>
      <b/>
      <sz val="20"/>
      <color theme="0" tint="-4.9989318521683403E-2"/>
      <name val="Arial"/>
      <family val="2"/>
    </font>
    <font>
      <b/>
      <sz val="12"/>
      <color theme="1"/>
      <name val="Arial"/>
      <family val="2"/>
    </font>
    <font>
      <sz val="11"/>
      <color theme="1"/>
      <name val="Calibri"/>
      <family val="2"/>
      <scheme val="minor"/>
    </font>
    <font>
      <b/>
      <sz val="8"/>
      <name val="Arial"/>
      <family val="2"/>
    </font>
    <font>
      <b/>
      <sz val="10"/>
      <name val="Arial"/>
      <family val="2"/>
    </font>
    <font>
      <sz val="10"/>
      <color indexed="8"/>
      <name val="Arial"/>
      <family val="2"/>
    </font>
    <font>
      <sz val="10"/>
      <color theme="1"/>
      <name val="Arial"/>
      <family val="2"/>
    </font>
    <font>
      <sz val="11"/>
      <name val="Arial"/>
      <family val="2"/>
    </font>
    <font>
      <b/>
      <sz val="8"/>
      <color indexed="10"/>
      <name val="Arial"/>
      <family val="2"/>
    </font>
    <font>
      <b/>
      <sz val="12"/>
      <color indexed="81"/>
      <name val="Tahoma"/>
      <family val="2"/>
    </font>
    <font>
      <b/>
      <sz val="20"/>
      <name val="Arial"/>
      <family val="2"/>
    </font>
    <font>
      <u/>
      <sz val="10"/>
      <name val="Arial"/>
      <family val="2"/>
    </font>
    <font>
      <b/>
      <sz val="9"/>
      <name val="Arial"/>
      <family val="2"/>
    </font>
    <font>
      <b/>
      <sz val="9"/>
      <color theme="1"/>
      <name val="Arial"/>
      <family val="2"/>
    </font>
    <font>
      <b/>
      <sz val="14"/>
      <color theme="0"/>
      <name val="Arial"/>
      <family val="2"/>
    </font>
    <font>
      <b/>
      <sz val="12"/>
      <color theme="0"/>
      <name val="Arial"/>
      <family val="2"/>
    </font>
    <font>
      <b/>
      <sz val="18"/>
      <color theme="0"/>
      <name val="Arial"/>
      <family val="2"/>
    </font>
    <font>
      <b/>
      <sz val="11"/>
      <color indexed="9"/>
      <name val="Arial"/>
      <family val="2"/>
    </font>
    <font>
      <sz val="9"/>
      <name val="Arial"/>
      <family val="2"/>
    </font>
    <font>
      <b/>
      <sz val="18"/>
      <name val="Arial"/>
      <family val="2"/>
    </font>
    <font>
      <b/>
      <sz val="14"/>
      <name val="Arial"/>
      <family val="2"/>
    </font>
    <font>
      <sz val="14"/>
      <color theme="0"/>
      <name val="Arial"/>
      <family val="2"/>
    </font>
    <font>
      <sz val="8"/>
      <color theme="0"/>
      <name val="Arial"/>
      <family val="2"/>
    </font>
    <font>
      <sz val="14"/>
      <name val="Arial"/>
      <family val="2"/>
    </font>
    <font>
      <sz val="6"/>
      <name val="Arial"/>
      <family val="2"/>
    </font>
    <font>
      <b/>
      <sz val="26"/>
      <name val="Arial"/>
      <family val="2"/>
    </font>
    <font>
      <sz val="10"/>
      <color theme="0" tint="-0.14999847407452621"/>
      <name val="Arial"/>
      <family val="2"/>
    </font>
    <font>
      <b/>
      <sz val="9"/>
      <color theme="5"/>
      <name val="Arial"/>
      <family val="2"/>
    </font>
    <font>
      <b/>
      <sz val="8"/>
      <color theme="5"/>
      <name val="Arial"/>
      <family val="2"/>
    </font>
    <font>
      <sz val="8"/>
      <color indexed="8"/>
      <name val="Arial"/>
      <family val="2"/>
    </font>
    <font>
      <b/>
      <sz val="10"/>
      <color theme="6" tint="-0.499984740745262"/>
      <name val="Arial"/>
      <family val="2"/>
    </font>
    <font>
      <b/>
      <sz val="10"/>
      <color rgb="FFC00000"/>
      <name val="Arial"/>
      <family val="2"/>
    </font>
    <font>
      <b/>
      <sz val="10"/>
      <color theme="3"/>
      <name val="Arial"/>
      <family val="2"/>
    </font>
    <font>
      <b/>
      <sz val="14"/>
      <color rgb="FFC00000"/>
      <name val="Arial"/>
      <family val="2"/>
    </font>
    <font>
      <b/>
      <sz val="16"/>
      <color theme="0"/>
      <name val="Arial"/>
      <family val="2"/>
    </font>
    <font>
      <b/>
      <vertAlign val="subscript"/>
      <sz val="9"/>
      <name val="Arial"/>
      <family val="2"/>
    </font>
    <font>
      <b/>
      <sz val="8"/>
      <color theme="0" tint="-0.14999847407452621"/>
      <name val="Arial"/>
      <family val="2"/>
    </font>
    <font>
      <b/>
      <sz val="10"/>
      <color theme="0" tint="-0.14999847407452621"/>
      <name val="Arial"/>
      <family val="2"/>
    </font>
    <font>
      <sz val="8"/>
      <color theme="2"/>
      <name val="Arial"/>
      <family val="2"/>
    </font>
  </fonts>
  <fills count="26">
    <fill>
      <patternFill patternType="none"/>
    </fill>
    <fill>
      <patternFill patternType="gray125"/>
    </fill>
    <fill>
      <patternFill patternType="solid">
        <fgColor indexed="8"/>
        <bgColor indexed="64"/>
      </patternFill>
    </fill>
    <fill>
      <patternFill patternType="solid">
        <fgColor indexed="63"/>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EEC7C"/>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rgb="FFC00000"/>
        <bgColor indexed="64"/>
      </patternFill>
    </fill>
  </fills>
  <borders count="7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auto="1"/>
      </left>
      <right/>
      <top style="thin">
        <color auto="1"/>
      </top>
      <bottom style="medium">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thin">
        <color indexed="64"/>
      </left>
      <right style="thin">
        <color indexed="64"/>
      </right>
      <top/>
      <bottom style="medium">
        <color indexed="64"/>
      </bottom>
      <diagonal/>
    </border>
    <border>
      <left style="thin">
        <color auto="1"/>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medium">
        <color indexed="64"/>
      </right>
      <top/>
      <bottom/>
      <diagonal/>
    </border>
    <border>
      <left/>
      <right style="thin">
        <color auto="1"/>
      </right>
      <top style="thin">
        <color auto="1"/>
      </top>
      <bottom/>
      <diagonal/>
    </border>
    <border>
      <left style="medium">
        <color indexed="64"/>
      </left>
      <right style="thin">
        <color auto="1"/>
      </right>
      <top/>
      <bottom style="thin">
        <color auto="1"/>
      </bottom>
      <diagonal/>
    </border>
    <border>
      <left/>
      <right style="thin">
        <color auto="1"/>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auto="1"/>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auto="1"/>
      </left>
      <right style="medium">
        <color indexed="64"/>
      </right>
      <top style="double">
        <color indexed="64"/>
      </top>
      <bottom style="double">
        <color indexed="64"/>
      </bottom>
      <diagonal/>
    </border>
    <border>
      <left style="thin">
        <color auto="1"/>
      </left>
      <right/>
      <top/>
      <bottom style="medium">
        <color auto="1"/>
      </bottom>
      <diagonal/>
    </border>
    <border>
      <left style="thin">
        <color auto="1"/>
      </left>
      <right style="thin">
        <color auto="1"/>
      </right>
      <top/>
      <bottom style="double">
        <color indexed="64"/>
      </bottom>
      <diagonal/>
    </border>
    <border>
      <left style="medium">
        <color indexed="64"/>
      </left>
      <right/>
      <top/>
      <bottom style="medium">
        <color indexed="64"/>
      </bottom>
      <diagonal/>
    </border>
    <border>
      <left style="thin">
        <color auto="1"/>
      </left>
      <right/>
      <top style="thin">
        <color auto="1"/>
      </top>
      <bottom style="double">
        <color indexed="64"/>
      </bottom>
      <diagonal/>
    </border>
    <border>
      <left style="medium">
        <color indexed="64"/>
      </left>
      <right style="medium">
        <color indexed="64"/>
      </right>
      <top style="thin">
        <color indexed="64"/>
      </top>
      <bottom style="thin">
        <color indexed="64"/>
      </bottom>
      <diagonal/>
    </border>
    <border>
      <left style="thin">
        <color auto="1"/>
      </left>
      <right/>
      <top style="medium">
        <color indexed="64"/>
      </top>
      <bottom/>
      <diagonal/>
    </border>
    <border>
      <left style="medium">
        <color indexed="64"/>
      </left>
      <right/>
      <top style="medium">
        <color indexed="64"/>
      </top>
      <bottom style="thin">
        <color auto="1"/>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xf numFmtId="0" fontId="19" fillId="0" borderId="0"/>
    <xf numFmtId="0" fontId="1" fillId="0" borderId="0"/>
  </cellStyleXfs>
  <cellXfs count="520">
    <xf numFmtId="0" fontId="0" fillId="0" borderId="0" xfId="0"/>
    <xf numFmtId="0" fontId="2" fillId="0" borderId="0" xfId="0" applyFont="1"/>
    <xf numFmtId="0" fontId="3" fillId="0" borderId="0" xfId="0" applyFont="1"/>
    <xf numFmtId="0" fontId="3" fillId="0" borderId="0" xfId="0" applyFont="1" applyBorder="1"/>
    <xf numFmtId="0" fontId="2" fillId="0" borderId="0" xfId="0" applyFont="1" applyAlignment="1">
      <alignment horizontal="center"/>
    </xf>
    <xf numFmtId="0" fontId="3" fillId="0" borderId="0" xfId="0" applyFont="1" applyFill="1"/>
    <xf numFmtId="0" fontId="2" fillId="0" borderId="1" xfId="0" applyFont="1" applyBorder="1" applyAlignment="1">
      <alignment horizontal="left"/>
    </xf>
    <xf numFmtId="0" fontId="2" fillId="0" borderId="1" xfId="0" applyFont="1" applyBorder="1" applyAlignment="1">
      <alignment horizontal="center"/>
    </xf>
    <xf numFmtId="0" fontId="2" fillId="0" borderId="0" xfId="0" applyFont="1" applyBorder="1"/>
    <xf numFmtId="165" fontId="3" fillId="0" borderId="0" xfId="2" applyNumberFormat="1" applyFont="1"/>
    <xf numFmtId="165" fontId="3" fillId="0" borderId="0" xfId="2" applyNumberFormat="1" applyFont="1" applyBorder="1"/>
    <xf numFmtId="165" fontId="3" fillId="0" borderId="1" xfId="2" applyNumberFormat="1" applyFont="1" applyBorder="1"/>
    <xf numFmtId="165" fontId="4" fillId="0" borderId="0" xfId="2" applyNumberFormat="1" applyFont="1" applyBorder="1"/>
    <xf numFmtId="0" fontId="4" fillId="0" borderId="0" xfId="0" applyFont="1" applyBorder="1"/>
    <xf numFmtId="0" fontId="4" fillId="0" borderId="0" xfId="0" applyFont="1"/>
    <xf numFmtId="164" fontId="4" fillId="0" borderId="0" xfId="4" applyNumberFormat="1" applyFont="1" applyBorder="1"/>
    <xf numFmtId="0" fontId="4" fillId="0" borderId="0" xfId="2" applyNumberFormat="1" applyFont="1" applyFill="1" applyBorder="1"/>
    <xf numFmtId="0" fontId="3" fillId="0" borderId="0" xfId="0" applyFont="1" applyAlignment="1">
      <alignment horizontal="left" indent="1"/>
    </xf>
    <xf numFmtId="0" fontId="3" fillId="0" borderId="0" xfId="0" applyFont="1" applyBorder="1" applyAlignment="1">
      <alignment horizontal="left" indent="1"/>
    </xf>
    <xf numFmtId="166" fontId="3" fillId="0" borderId="0" xfId="1" applyNumberFormat="1" applyFont="1"/>
    <xf numFmtId="0" fontId="4" fillId="0" borderId="0" xfId="0" applyFont="1" applyFill="1" applyBorder="1"/>
    <xf numFmtId="0" fontId="2" fillId="0" borderId="0" xfId="0" applyFont="1" applyFill="1"/>
    <xf numFmtId="165" fontId="3" fillId="0" borderId="0" xfId="2" applyNumberFormat="1" applyFont="1" applyFill="1"/>
    <xf numFmtId="165" fontId="3" fillId="0" borderId="1" xfId="2" applyNumberFormat="1" applyFont="1" applyFill="1" applyBorder="1"/>
    <xf numFmtId="0" fontId="5" fillId="0" borderId="0" xfId="0" applyFont="1" applyBorder="1"/>
    <xf numFmtId="168" fontId="3" fillId="0" borderId="0" xfId="2" applyNumberFormat="1" applyFont="1" applyFill="1"/>
    <xf numFmtId="44" fontId="3" fillId="0" borderId="0" xfId="2" applyFont="1"/>
    <xf numFmtId="44" fontId="3" fillId="0" borderId="0" xfId="2" applyFont="1" applyFill="1"/>
    <xf numFmtId="44" fontId="2" fillId="0" borderId="0" xfId="2" applyFont="1" applyAlignment="1">
      <alignment horizontal="center"/>
    </xf>
    <xf numFmtId="0" fontId="2" fillId="0" borderId="1" xfId="2" applyNumberFormat="1" applyFont="1" applyBorder="1" applyAlignment="1">
      <alignment horizontal="center"/>
    </xf>
    <xf numFmtId="0" fontId="3" fillId="0" borderId="0" xfId="0" applyFont="1" applyFill="1" applyBorder="1"/>
    <xf numFmtId="165" fontId="2" fillId="0" borderId="0" xfId="2" applyNumberFormat="1" applyFont="1" applyAlignment="1">
      <alignment horizontal="center"/>
    </xf>
    <xf numFmtId="0" fontId="2" fillId="0" borderId="0" xfId="0" applyFont="1" applyFill="1" applyBorder="1"/>
    <xf numFmtId="10" fontId="4" fillId="0" borderId="0" xfId="4" applyNumberFormat="1" applyFont="1" applyFill="1" applyBorder="1"/>
    <xf numFmtId="0" fontId="2" fillId="0" borderId="0" xfId="0" applyFont="1" applyBorder="1" applyAlignment="1">
      <alignment horizontal="left"/>
    </xf>
    <xf numFmtId="0" fontId="5" fillId="0" borderId="0" xfId="0" applyFont="1" applyBorder="1" applyAlignment="1">
      <alignment horizontal="right"/>
    </xf>
    <xf numFmtId="0" fontId="5" fillId="0" borderId="0" xfId="0" applyFont="1"/>
    <xf numFmtId="0" fontId="3" fillId="0" borderId="0" xfId="0" applyFont="1" applyAlignment="1">
      <alignment horizontal="right"/>
    </xf>
    <xf numFmtId="1" fontId="2" fillId="0" borderId="1" xfId="2" applyNumberFormat="1" applyFont="1" applyBorder="1" applyAlignment="1">
      <alignment horizontal="center"/>
    </xf>
    <xf numFmtId="0" fontId="3" fillId="0" borderId="0" xfId="0" applyFont="1" applyAlignment="1">
      <alignment horizontal="left"/>
    </xf>
    <xf numFmtId="165" fontId="3" fillId="0" borderId="0" xfId="0" applyNumberFormat="1" applyFont="1"/>
    <xf numFmtId="0" fontId="2" fillId="0" borderId="0" xfId="0" applyFont="1" applyAlignment="1">
      <alignment horizontal="left"/>
    </xf>
    <xf numFmtId="165" fontId="2" fillId="0" borderId="0" xfId="2" applyNumberFormat="1" applyFont="1" applyBorder="1"/>
    <xf numFmtId="0" fontId="7" fillId="2" borderId="0" xfId="0" applyFont="1" applyFill="1"/>
    <xf numFmtId="165" fontId="3" fillId="2" borderId="0" xfId="2" applyNumberFormat="1" applyFont="1" applyFill="1" applyBorder="1"/>
    <xf numFmtId="0" fontId="2" fillId="0" borderId="0" xfId="0" applyFont="1" applyAlignment="1">
      <alignment horizontal="left" indent="1"/>
    </xf>
    <xf numFmtId="0" fontId="3" fillId="0" borderId="0" xfId="0" applyFont="1" applyFill="1" applyBorder="1" applyAlignment="1">
      <alignment horizontal="left" indent="1"/>
    </xf>
    <xf numFmtId="0" fontId="3" fillId="0" borderId="1" xfId="0" applyFont="1" applyFill="1" applyBorder="1" applyAlignment="1">
      <alignment horizontal="left" indent="1"/>
    </xf>
    <xf numFmtId="166" fontId="3" fillId="2" borderId="0" xfId="1" applyNumberFormat="1" applyFont="1" applyFill="1" applyBorder="1"/>
    <xf numFmtId="166" fontId="3" fillId="2" borderId="0" xfId="1" applyNumberFormat="1" applyFont="1" applyFill="1"/>
    <xf numFmtId="165" fontId="3" fillId="2" borderId="0" xfId="2" applyNumberFormat="1" applyFont="1" applyFill="1"/>
    <xf numFmtId="0" fontId="2" fillId="0" borderId="0" xfId="2" applyNumberFormat="1" applyFont="1" applyAlignment="1">
      <alignment horizontal="center"/>
    </xf>
    <xf numFmtId="0" fontId="3" fillId="0" borderId="0" xfId="0" applyFont="1" applyAlignment="1">
      <alignment horizontal="left" indent="2"/>
    </xf>
    <xf numFmtId="0" fontId="3" fillId="3" borderId="0" xfId="0" applyFont="1" applyFill="1"/>
    <xf numFmtId="166" fontId="2" fillId="0" borderId="0" xfId="1" applyNumberFormat="1" applyFont="1" applyBorder="1" applyAlignment="1"/>
    <xf numFmtId="0" fontId="3" fillId="0" borderId="0" xfId="0" applyFont="1" applyFill="1" applyAlignment="1">
      <alignment horizontal="right"/>
    </xf>
    <xf numFmtId="165" fontId="3" fillId="0" borderId="0" xfId="2" applyNumberFormat="1" applyFont="1" applyFill="1" applyBorder="1"/>
    <xf numFmtId="0" fontId="2" fillId="0" borderId="0" xfId="0" applyFont="1" applyFill="1" applyAlignment="1">
      <alignment horizontal="left"/>
    </xf>
    <xf numFmtId="0" fontId="2" fillId="0" borderId="0" xfId="0" applyFont="1" applyFill="1" applyAlignment="1">
      <alignment horizontal="left" indent="1"/>
    </xf>
    <xf numFmtId="0" fontId="3" fillId="0" borderId="0" xfId="0" applyFont="1" applyFill="1" applyBorder="1" applyAlignment="1">
      <alignment horizontal="left" indent="2"/>
    </xf>
    <xf numFmtId="165" fontId="2" fillId="0" borderId="0" xfId="2" applyNumberFormat="1" applyFont="1"/>
    <xf numFmtId="0" fontId="4" fillId="0" borderId="0" xfId="0" applyFont="1" applyFill="1"/>
    <xf numFmtId="0" fontId="5" fillId="0" borderId="0" xfId="0" applyFont="1" applyFill="1"/>
    <xf numFmtId="0" fontId="12" fillId="0" borderId="0" xfId="0" applyFont="1" applyFill="1" applyAlignment="1">
      <alignment horizontal="left" indent="1"/>
    </xf>
    <xf numFmtId="0" fontId="3" fillId="0" borderId="0" xfId="0" applyFont="1" applyAlignment="1">
      <alignment horizontal="left" indent="3"/>
    </xf>
    <xf numFmtId="0" fontId="14" fillId="3" borderId="0" xfId="0" applyFont="1" applyFill="1" applyAlignment="1">
      <alignment horizontal="left"/>
    </xf>
    <xf numFmtId="0" fontId="2" fillId="0" borderId="0" xfId="0" applyFont="1" applyFill="1" applyBorder="1" applyAlignment="1">
      <alignment horizontal="left"/>
    </xf>
    <xf numFmtId="0" fontId="16" fillId="0" borderId="0" xfId="0" applyFont="1"/>
    <xf numFmtId="165" fontId="3" fillId="0" borderId="0" xfId="2" applyNumberFormat="1" applyFont="1" applyBorder="1" applyAlignment="1">
      <alignment horizontal="right"/>
    </xf>
    <xf numFmtId="0" fontId="2" fillId="0" borderId="0" xfId="0" applyFont="1" applyFill="1" applyBorder="1" applyAlignment="1"/>
    <xf numFmtId="43" fontId="3" fillId="0" borderId="0" xfId="0" applyNumberFormat="1" applyFont="1" applyFill="1"/>
    <xf numFmtId="165" fontId="3" fillId="0" borderId="0" xfId="2" applyNumberFormat="1" applyFont="1" applyAlignment="1">
      <alignment horizontal="right"/>
    </xf>
    <xf numFmtId="0" fontId="18" fillId="0" borderId="0" xfId="0" applyFont="1" applyAlignment="1">
      <alignment horizontal="left"/>
    </xf>
    <xf numFmtId="0" fontId="8" fillId="3" borderId="0" xfId="0" applyFont="1" applyFill="1" applyAlignment="1"/>
    <xf numFmtId="44" fontId="4" fillId="5" borderId="2" xfId="2" applyNumberFormat="1" applyFont="1" applyFill="1" applyBorder="1"/>
    <xf numFmtId="0" fontId="4" fillId="5" borderId="2" xfId="2" applyNumberFormat="1" applyFont="1" applyFill="1" applyBorder="1" applyAlignment="1">
      <alignment horizontal="right"/>
    </xf>
    <xf numFmtId="0" fontId="4" fillId="5" borderId="2" xfId="2" applyNumberFormat="1" applyFont="1" applyFill="1" applyBorder="1"/>
    <xf numFmtId="164" fontId="4" fillId="5" borderId="2" xfId="2" applyNumberFormat="1" applyFont="1" applyFill="1" applyBorder="1"/>
    <xf numFmtId="9" fontId="4" fillId="5" borderId="2" xfId="4" applyFont="1" applyFill="1" applyBorder="1"/>
    <xf numFmtId="0" fontId="4" fillId="5" borderId="2" xfId="4" applyNumberFormat="1" applyFont="1" applyFill="1" applyBorder="1"/>
    <xf numFmtId="0" fontId="3" fillId="0" borderId="0" xfId="0" applyFont="1" applyFill="1" applyBorder="1" applyAlignment="1">
      <alignment horizontal="right"/>
    </xf>
    <xf numFmtId="0" fontId="3" fillId="0" borderId="0" xfId="0" applyFont="1" applyBorder="1" applyAlignment="1">
      <alignment horizontal="right"/>
    </xf>
    <xf numFmtId="0" fontId="2" fillId="0" borderId="4" xfId="0" applyFont="1" applyFill="1" applyBorder="1" applyAlignment="1">
      <alignment horizontal="right"/>
    </xf>
    <xf numFmtId="0" fontId="2" fillId="0" borderId="5" xfId="0" applyFont="1" applyFill="1" applyBorder="1" applyAlignment="1">
      <alignment horizontal="right"/>
    </xf>
    <xf numFmtId="165" fontId="2" fillId="0" borderId="5" xfId="2" applyNumberFormat="1" applyFont="1" applyFill="1" applyBorder="1"/>
    <xf numFmtId="165" fontId="2" fillId="0" borderId="6" xfId="2" applyNumberFormat="1" applyFont="1" applyFill="1" applyBorder="1"/>
    <xf numFmtId="0" fontId="3" fillId="0" borderId="4" xfId="0" applyFont="1" applyBorder="1" applyAlignment="1">
      <alignment horizontal="left" indent="1"/>
    </xf>
    <xf numFmtId="0" fontId="13" fillId="0" borderId="5" xfId="3" applyFont="1" applyBorder="1" applyAlignment="1" applyProtection="1"/>
    <xf numFmtId="165" fontId="3" fillId="0" borderId="5" xfId="2" applyNumberFormat="1" applyFont="1" applyBorder="1"/>
    <xf numFmtId="166" fontId="3" fillId="0" borderId="5" xfId="1" applyNumberFormat="1" applyFont="1" applyBorder="1"/>
    <xf numFmtId="166" fontId="3" fillId="0" borderId="6" xfId="1" applyNumberFormat="1" applyFont="1" applyBorder="1"/>
    <xf numFmtId="0" fontId="3" fillId="0" borderId="0" xfId="0" applyFont="1" applyBorder="1" applyAlignment="1">
      <alignment horizontal="left" indent="2"/>
    </xf>
    <xf numFmtId="0" fontId="2" fillId="4" borderId="4" xfId="0" applyFont="1" applyFill="1" applyBorder="1" applyAlignment="1">
      <alignment horizontal="left" indent="1"/>
    </xf>
    <xf numFmtId="0" fontId="2" fillId="4" borderId="5" xfId="0" applyFont="1" applyFill="1" applyBorder="1" applyAlignment="1">
      <alignment horizontal="left" indent="1"/>
    </xf>
    <xf numFmtId="165" fontId="2" fillId="4" borderId="5" xfId="2" applyNumberFormat="1" applyFont="1" applyFill="1" applyBorder="1"/>
    <xf numFmtId="165" fontId="2" fillId="4" borderId="6" xfId="2" applyNumberFormat="1" applyFont="1" applyFill="1" applyBorder="1"/>
    <xf numFmtId="0" fontId="8" fillId="7" borderId="0" xfId="0" applyFont="1" applyFill="1" applyAlignment="1"/>
    <xf numFmtId="0" fontId="9" fillId="7" borderId="0" xfId="0" applyFont="1" applyFill="1" applyAlignment="1"/>
    <xf numFmtId="0" fontId="3" fillId="7" borderId="0" xfId="0" applyFont="1" applyFill="1"/>
    <xf numFmtId="0" fontId="3" fillId="0" borderId="0" xfId="0" applyNumberFormat="1" applyFont="1" applyFill="1"/>
    <xf numFmtId="0" fontId="3" fillId="0" borderId="0" xfId="0" applyNumberFormat="1" applyFont="1"/>
    <xf numFmtId="0" fontId="3" fillId="0" borderId="0" xfId="2" applyNumberFormat="1" applyFont="1"/>
    <xf numFmtId="0" fontId="4" fillId="0" borderId="0" xfId="0" applyNumberFormat="1" applyFont="1" applyBorder="1"/>
    <xf numFmtId="0" fontId="4" fillId="0" borderId="0" xfId="4" applyNumberFormat="1" applyFont="1" applyBorder="1"/>
    <xf numFmtId="0" fontId="5" fillId="0" borderId="0" xfId="0" applyNumberFormat="1" applyFont="1"/>
    <xf numFmtId="0" fontId="5" fillId="0" borderId="0" xfId="0" applyNumberFormat="1" applyFont="1" applyFill="1"/>
    <xf numFmtId="0" fontId="5" fillId="0" borderId="0" xfId="2" applyNumberFormat="1" applyFont="1" applyFill="1"/>
    <xf numFmtId="0" fontId="3" fillId="0" borderId="0" xfId="2" applyNumberFormat="1" applyFont="1" applyFill="1"/>
    <xf numFmtId="0" fontId="7" fillId="7" borderId="0" xfId="0" applyFont="1" applyFill="1" applyAlignment="1"/>
    <xf numFmtId="0" fontId="8" fillId="5" borderId="0" xfId="0" applyFont="1" applyFill="1" applyAlignment="1"/>
    <xf numFmtId="0" fontId="17" fillId="5" borderId="0" xfId="0" applyFont="1" applyFill="1" applyAlignment="1"/>
    <xf numFmtId="0" fontId="27" fillId="5" borderId="0" xfId="0" applyFont="1" applyFill="1" applyAlignment="1"/>
    <xf numFmtId="0" fontId="2" fillId="0" borderId="0" xfId="0" applyFont="1" applyAlignment="1">
      <alignment horizontal="right"/>
    </xf>
    <xf numFmtId="9" fontId="3" fillId="5" borderId="2" xfId="2" applyNumberFormat="1" applyFont="1" applyFill="1" applyBorder="1"/>
    <xf numFmtId="165" fontId="4" fillId="5" borderId="2" xfId="2" applyNumberFormat="1" applyFont="1" applyFill="1" applyBorder="1"/>
    <xf numFmtId="0" fontId="8" fillId="3" borderId="0" xfId="0" applyFont="1" applyFill="1" applyAlignment="1">
      <alignment horizontal="left"/>
    </xf>
    <xf numFmtId="166" fontId="4" fillId="5" borderId="2" xfId="1" applyNumberFormat="1" applyFont="1" applyFill="1" applyBorder="1"/>
    <xf numFmtId="44" fontId="4" fillId="5" borderId="2" xfId="1" applyNumberFormat="1" applyFont="1" applyFill="1" applyBorder="1"/>
    <xf numFmtId="44" fontId="4" fillId="0" borderId="2" xfId="2" applyNumberFormat="1" applyFont="1" applyFill="1" applyBorder="1"/>
    <xf numFmtId="0" fontId="4" fillId="5" borderId="2" xfId="1" applyNumberFormat="1" applyFont="1" applyFill="1" applyBorder="1"/>
    <xf numFmtId="165" fontId="4" fillId="5" borderId="2" xfId="1" applyNumberFormat="1" applyFont="1" applyFill="1" applyBorder="1"/>
    <xf numFmtId="0" fontId="2" fillId="9" borderId="0" xfId="0" applyFont="1" applyFill="1" applyAlignment="1">
      <alignment horizontal="left" indent="1"/>
    </xf>
    <xf numFmtId="165" fontId="3" fillId="9" borderId="0" xfId="2" applyNumberFormat="1" applyFont="1" applyFill="1" applyBorder="1"/>
    <xf numFmtId="0" fontId="3" fillId="9" borderId="0" xfId="0" applyFont="1" applyFill="1" applyAlignment="1">
      <alignment horizontal="left" indent="2"/>
    </xf>
    <xf numFmtId="0" fontId="3" fillId="9" borderId="0" xfId="0" applyFont="1" applyFill="1" applyBorder="1" applyAlignment="1">
      <alignment horizontal="left" indent="2"/>
    </xf>
    <xf numFmtId="0" fontId="3" fillId="9" borderId="0" xfId="0" applyFont="1" applyFill="1" applyAlignment="1">
      <alignment horizontal="right"/>
    </xf>
    <xf numFmtId="0" fontId="3" fillId="9" borderId="0" xfId="0" applyFont="1" applyFill="1" applyAlignment="1">
      <alignment horizontal="left"/>
    </xf>
    <xf numFmtId="165" fontId="2" fillId="9" borderId="5" xfId="2" applyNumberFormat="1" applyFont="1" applyFill="1" applyBorder="1"/>
    <xf numFmtId="165" fontId="2" fillId="9" borderId="6" xfId="2" applyNumberFormat="1" applyFont="1" applyFill="1" applyBorder="1"/>
    <xf numFmtId="165" fontId="2" fillId="9" borderId="0" xfId="2" applyNumberFormat="1" applyFont="1" applyFill="1" applyBorder="1"/>
    <xf numFmtId="0" fontId="8" fillId="9" borderId="0" xfId="0" applyFont="1" applyFill="1" applyAlignment="1"/>
    <xf numFmtId="0" fontId="9" fillId="9" borderId="0" xfId="0" applyFont="1" applyFill="1" applyAlignment="1"/>
    <xf numFmtId="0" fontId="3" fillId="9" borderId="0" xfId="0" applyFont="1" applyFill="1"/>
    <xf numFmtId="165" fontId="3" fillId="9" borderId="0" xfId="2" applyNumberFormat="1" applyFont="1" applyFill="1"/>
    <xf numFmtId="165" fontId="2" fillId="9" borderId="0" xfId="2" applyNumberFormat="1" applyFont="1" applyFill="1" applyAlignment="1">
      <alignment horizontal="center"/>
    </xf>
    <xf numFmtId="0" fontId="2" fillId="9" borderId="0" xfId="0" applyFont="1" applyFill="1"/>
    <xf numFmtId="0" fontId="2" fillId="9" borderId="0" xfId="2" applyNumberFormat="1" applyFont="1" applyFill="1" applyAlignment="1">
      <alignment horizontal="center"/>
    </xf>
    <xf numFmtId="165" fontId="2" fillId="9" borderId="0" xfId="2" applyNumberFormat="1" applyFont="1" applyFill="1"/>
    <xf numFmtId="0" fontId="2" fillId="5" borderId="2" xfId="0" applyFont="1" applyFill="1" applyBorder="1" applyAlignment="1">
      <alignment horizontal="center"/>
    </xf>
    <xf numFmtId="0" fontId="4" fillId="0" borderId="2" xfId="0" applyFont="1" applyBorder="1"/>
    <xf numFmtId="0" fontId="31" fillId="7" borderId="0" xfId="0" applyFont="1" applyFill="1" applyBorder="1"/>
    <xf numFmtId="0" fontId="7" fillId="9" borderId="0" xfId="0" applyFont="1" applyFill="1"/>
    <xf numFmtId="166" fontId="3" fillId="9" borderId="0" xfId="1" applyNumberFormat="1" applyFont="1" applyFill="1" applyBorder="1"/>
    <xf numFmtId="166" fontId="3" fillId="9" borderId="0" xfId="1" applyNumberFormat="1" applyFont="1" applyFill="1"/>
    <xf numFmtId="0" fontId="2" fillId="9" borderId="0" xfId="0" applyFont="1" applyFill="1" applyAlignment="1">
      <alignment horizontal="left"/>
    </xf>
    <xf numFmtId="166" fontId="2" fillId="9" borderId="0" xfId="1" applyNumberFormat="1" applyFont="1" applyFill="1" applyBorder="1" applyAlignment="1"/>
    <xf numFmtId="0" fontId="3" fillId="9" borderId="0" xfId="0" applyFont="1" applyFill="1" applyAlignment="1">
      <alignment horizontal="left" indent="1"/>
    </xf>
    <xf numFmtId="0" fontId="3" fillId="9" borderId="0" xfId="0" applyFont="1" applyFill="1" applyBorder="1" applyAlignment="1">
      <alignment horizontal="left" indent="1"/>
    </xf>
    <xf numFmtId="165" fontId="3" fillId="9" borderId="0" xfId="2" applyNumberFormat="1" applyFont="1" applyFill="1" applyBorder="1" applyAlignment="1">
      <alignment horizontal="right"/>
    </xf>
    <xf numFmtId="0" fontId="3" fillId="9" borderId="0" xfId="0" applyFont="1" applyFill="1" applyBorder="1" applyAlignment="1">
      <alignment horizontal="right"/>
    </xf>
    <xf numFmtId="0" fontId="3" fillId="9" borderId="1" xfId="0" applyFont="1" applyFill="1" applyBorder="1" applyAlignment="1">
      <alignment horizontal="left" indent="1"/>
    </xf>
    <xf numFmtId="165" fontId="3" fillId="9" borderId="1" xfId="2" applyNumberFormat="1" applyFont="1" applyFill="1" applyBorder="1"/>
    <xf numFmtId="0" fontId="2" fillId="9" borderId="4" xfId="0" applyFont="1" applyFill="1" applyBorder="1" applyAlignment="1">
      <alignment horizontal="right"/>
    </xf>
    <xf numFmtId="0" fontId="2" fillId="9" borderId="5" xfId="0" applyFont="1" applyFill="1" applyBorder="1" applyAlignment="1">
      <alignment horizontal="right"/>
    </xf>
    <xf numFmtId="43" fontId="3" fillId="9" borderId="0" xfId="0" applyNumberFormat="1" applyFont="1" applyFill="1"/>
    <xf numFmtId="0" fontId="3" fillId="9" borderId="0" xfId="0" applyFont="1" applyFill="1" applyBorder="1"/>
    <xf numFmtId="0" fontId="33" fillId="7" borderId="0" xfId="0" applyFont="1" applyFill="1"/>
    <xf numFmtId="0" fontId="34" fillId="7" borderId="0" xfId="0" applyFont="1" applyFill="1"/>
    <xf numFmtId="0" fontId="32" fillId="7" borderId="0" xfId="0" applyFont="1" applyFill="1" applyAlignment="1"/>
    <xf numFmtId="0" fontId="3" fillId="0" borderId="0" xfId="2" applyNumberFormat="1" applyFont="1" applyBorder="1" applyAlignment="1">
      <alignment horizontal="center"/>
    </xf>
    <xf numFmtId="0" fontId="13" fillId="0" borderId="0" xfId="3" applyFont="1" applyBorder="1" applyAlignment="1" applyProtection="1"/>
    <xf numFmtId="165" fontId="4" fillId="5" borderId="20" xfId="0" applyNumberFormat="1" applyFont="1" applyFill="1" applyBorder="1"/>
    <xf numFmtId="0" fontId="4" fillId="5" borderId="20" xfId="4" applyNumberFormat="1" applyFont="1" applyFill="1" applyBorder="1" applyAlignment="1">
      <alignment horizontal="center"/>
    </xf>
    <xf numFmtId="0" fontId="2" fillId="0" borderId="0" xfId="0" applyFont="1" applyAlignment="1">
      <alignment horizontal="left" indent="14"/>
    </xf>
    <xf numFmtId="0" fontId="36" fillId="10" borderId="17" xfId="0" applyFont="1" applyFill="1" applyBorder="1" applyAlignment="1">
      <alignment vertical="center" wrapText="1"/>
    </xf>
    <xf numFmtId="0" fontId="37" fillId="0" borderId="0" xfId="0" applyFont="1" applyAlignment="1">
      <alignment horizontal="center"/>
    </xf>
    <xf numFmtId="0" fontId="36" fillId="11" borderId="0" xfId="0" applyFont="1" applyFill="1"/>
    <xf numFmtId="0" fontId="0" fillId="11" borderId="0" xfId="0" applyFill="1"/>
    <xf numFmtId="0" fontId="31" fillId="7" borderId="0" xfId="0" applyFont="1" applyFill="1"/>
    <xf numFmtId="0" fontId="38" fillId="12" borderId="0" xfId="0" applyFont="1" applyFill="1"/>
    <xf numFmtId="0" fontId="3" fillId="0" borderId="0" xfId="0" applyFont="1" applyAlignment="1">
      <alignment horizontal="left" indent="15"/>
    </xf>
    <xf numFmtId="0" fontId="38" fillId="13" borderId="0" xfId="0" applyFont="1" applyFill="1"/>
    <xf numFmtId="0" fontId="32" fillId="12" borderId="0" xfId="0" applyFont="1" applyFill="1" applyAlignment="1"/>
    <xf numFmtId="0" fontId="3" fillId="0" borderId="0" xfId="0" applyFont="1" applyAlignment="1">
      <alignment horizontal="left" indent="14"/>
    </xf>
    <xf numFmtId="0" fontId="16" fillId="13" borderId="0" xfId="0" applyFont="1" applyFill="1" applyAlignment="1">
      <alignment horizontal="left"/>
    </xf>
    <xf numFmtId="9" fontId="3" fillId="5" borderId="2" xfId="2" applyNumberFormat="1" applyFont="1" applyFill="1" applyBorder="1" applyAlignment="1">
      <alignment horizontal="right"/>
    </xf>
    <xf numFmtId="9" fontId="2" fillId="5" borderId="2" xfId="2" applyNumberFormat="1" applyFont="1" applyFill="1" applyBorder="1" applyAlignment="1">
      <alignment horizontal="right"/>
    </xf>
    <xf numFmtId="9" fontId="3" fillId="0" borderId="0" xfId="0" applyNumberFormat="1" applyFont="1"/>
    <xf numFmtId="9" fontId="0" fillId="0" borderId="0" xfId="0" applyNumberFormat="1"/>
    <xf numFmtId="0" fontId="4" fillId="5" borderId="2" xfId="1" applyNumberFormat="1" applyFont="1" applyFill="1" applyBorder="1" applyAlignment="1">
      <alignment horizontal="center"/>
    </xf>
    <xf numFmtId="0" fontId="0" fillId="0" borderId="0" xfId="0" applyFill="1"/>
    <xf numFmtId="164" fontId="40" fillId="9" borderId="2" xfId="0" applyNumberFormat="1" applyFont="1" applyFill="1" applyBorder="1"/>
    <xf numFmtId="165" fontId="3" fillId="18" borderId="2" xfId="2" applyNumberFormat="1" applyFont="1" applyFill="1" applyBorder="1"/>
    <xf numFmtId="165" fontId="3" fillId="18" borderId="0" xfId="2" applyNumberFormat="1" applyFont="1" applyFill="1"/>
    <xf numFmtId="165" fontId="3" fillId="0" borderId="0" xfId="2" applyNumberFormat="1" applyFont="1" applyAlignment="1">
      <alignment horizontal="center"/>
    </xf>
    <xf numFmtId="9" fontId="3" fillId="0" borderId="0" xfId="2" applyNumberFormat="1" applyFont="1" applyFill="1" applyBorder="1" applyAlignment="1">
      <alignment horizontal="right"/>
    </xf>
    <xf numFmtId="9" fontId="2" fillId="0" borderId="0" xfId="2" applyNumberFormat="1" applyFont="1" applyFill="1" applyBorder="1" applyAlignment="1">
      <alignment horizontal="right"/>
    </xf>
    <xf numFmtId="14" fontId="10" fillId="6" borderId="2" xfId="0" applyNumberFormat="1" applyFont="1" applyFill="1" applyBorder="1" applyAlignment="1">
      <alignment horizontal="center" vertical="center"/>
    </xf>
    <xf numFmtId="9" fontId="1" fillId="5" borderId="2" xfId="2" applyNumberFormat="1" applyFont="1" applyFill="1" applyBorder="1"/>
    <xf numFmtId="165" fontId="4" fillId="21" borderId="2" xfId="2" applyNumberFormat="1" applyFont="1" applyFill="1" applyBorder="1"/>
    <xf numFmtId="167" fontId="4" fillId="21" borderId="2" xfId="2" applyNumberFormat="1" applyFont="1" applyFill="1" applyBorder="1"/>
    <xf numFmtId="164" fontId="4" fillId="5" borderId="2" xfId="4" applyNumberFormat="1" applyFont="1" applyFill="1" applyBorder="1"/>
    <xf numFmtId="10" fontId="4" fillId="5" borderId="2" xfId="4" applyNumberFormat="1" applyFont="1" applyFill="1" applyBorder="1"/>
    <xf numFmtId="0" fontId="4" fillId="21" borderId="2" xfId="2" applyNumberFormat="1" applyFont="1" applyFill="1" applyBorder="1"/>
    <xf numFmtId="44" fontId="4" fillId="5" borderId="2" xfId="2" applyFont="1" applyFill="1" applyBorder="1"/>
    <xf numFmtId="9" fontId="4" fillId="5" borderId="2" xfId="4" applyNumberFormat="1" applyFont="1" applyFill="1" applyBorder="1"/>
    <xf numFmtId="165" fontId="4" fillId="21" borderId="2" xfId="0" applyNumberFormat="1" applyFont="1" applyFill="1" applyBorder="1"/>
    <xf numFmtId="9" fontId="3" fillId="21" borderId="2" xfId="4" applyFont="1" applyFill="1" applyBorder="1"/>
    <xf numFmtId="10" fontId="4" fillId="21" borderId="2" xfId="4" applyNumberFormat="1" applyFont="1" applyFill="1" applyBorder="1"/>
    <xf numFmtId="9" fontId="4" fillId="21" borderId="2" xfId="4" applyFont="1" applyFill="1" applyBorder="1"/>
    <xf numFmtId="165" fontId="4" fillId="21" borderId="20" xfId="2" applyNumberFormat="1" applyFont="1" applyFill="1" applyBorder="1"/>
    <xf numFmtId="0" fontId="4" fillId="21" borderId="7" xfId="4" applyNumberFormat="1" applyFont="1" applyFill="1" applyBorder="1" applyAlignment="1">
      <alignment horizontal="center"/>
    </xf>
    <xf numFmtId="9" fontId="4" fillId="21" borderId="2" xfId="0" applyNumberFormat="1" applyFont="1" applyFill="1" applyBorder="1"/>
    <xf numFmtId="0" fontId="46" fillId="5" borderId="2" xfId="2" applyNumberFormat="1" applyFont="1" applyFill="1" applyBorder="1" applyAlignment="1">
      <alignment horizontal="center" vertical="center" wrapText="1"/>
    </xf>
    <xf numFmtId="0" fontId="46" fillId="21" borderId="2" xfId="2" applyNumberFormat="1" applyFont="1" applyFill="1" applyBorder="1" applyAlignment="1">
      <alignment horizontal="center" vertical="center"/>
    </xf>
    <xf numFmtId="0" fontId="2" fillId="5" borderId="2" xfId="0" applyFont="1" applyFill="1" applyBorder="1" applyAlignment="1">
      <alignment horizontal="center" vertical="center"/>
    </xf>
    <xf numFmtId="0" fontId="51" fillId="25" borderId="0" xfId="0" applyFont="1" applyFill="1" applyAlignment="1">
      <alignment horizontal="center" vertical="center"/>
    </xf>
    <xf numFmtId="0" fontId="51" fillId="25" borderId="0" xfId="0" applyFont="1" applyFill="1" applyAlignment="1">
      <alignment horizontal="center"/>
    </xf>
    <xf numFmtId="0" fontId="4" fillId="0" borderId="0" xfId="0" applyFont="1" applyFill="1" applyBorder="1" applyAlignment="1">
      <alignment horizontal="left"/>
    </xf>
    <xf numFmtId="0" fontId="4" fillId="0" borderId="0" xfId="0" applyFont="1" applyFill="1" applyAlignment="1">
      <alignment horizontal="left"/>
    </xf>
    <xf numFmtId="0" fontId="3" fillId="0" borderId="0" xfId="0" applyFont="1" applyFill="1" applyBorder="1" applyAlignment="1">
      <alignment horizontal="left"/>
    </xf>
    <xf numFmtId="0" fontId="3" fillId="0" borderId="0" xfId="0" applyFont="1" applyFill="1" applyAlignment="1">
      <alignment horizontal="left"/>
    </xf>
    <xf numFmtId="0" fontId="10" fillId="6" borderId="4" xfId="0" applyFont="1" applyFill="1" applyBorder="1" applyAlignment="1">
      <alignment horizontal="center" vertical="center"/>
    </xf>
    <xf numFmtId="0" fontId="1" fillId="0" borderId="0" xfId="0" applyFont="1" applyProtection="1"/>
    <xf numFmtId="0" fontId="1" fillId="0" borderId="0" xfId="0" applyFont="1" applyAlignment="1" applyProtection="1">
      <alignment horizontal="center"/>
    </xf>
    <xf numFmtId="0" fontId="1" fillId="0" borderId="0" xfId="0" applyFont="1" applyFill="1" applyProtection="1"/>
    <xf numFmtId="0" fontId="1" fillId="22" borderId="33" xfId="0" applyFont="1" applyFill="1" applyBorder="1" applyAlignment="1" applyProtection="1">
      <alignment horizontal="center"/>
    </xf>
    <xf numFmtId="0" fontId="29" fillId="14" borderId="12" xfId="0" applyFont="1" applyFill="1" applyBorder="1" applyAlignment="1" applyProtection="1">
      <alignment horizontal="center" vertical="center" wrapText="1"/>
    </xf>
    <xf numFmtId="0" fontId="29" fillId="14" borderId="8" xfId="0" applyFont="1" applyFill="1" applyBorder="1" applyAlignment="1" applyProtection="1">
      <alignment horizontal="center" vertical="center" wrapText="1"/>
    </xf>
    <xf numFmtId="0" fontId="29" fillId="15" borderId="8" xfId="0" applyFont="1" applyFill="1" applyBorder="1" applyAlignment="1" applyProtection="1">
      <alignment horizontal="center" vertical="center" wrapText="1"/>
    </xf>
    <xf numFmtId="0" fontId="29" fillId="17" borderId="8" xfId="0" applyFont="1" applyFill="1" applyBorder="1" applyAlignment="1" applyProtection="1">
      <alignment horizontal="center" vertical="center" wrapText="1"/>
    </xf>
    <xf numFmtId="0" fontId="29" fillId="17" borderId="9" xfId="0" applyFont="1" applyFill="1" applyBorder="1" applyAlignment="1" applyProtection="1">
      <alignment horizontal="center" vertical="center" wrapText="1"/>
    </xf>
    <xf numFmtId="0" fontId="29" fillId="14" borderId="55" xfId="0" applyFont="1" applyFill="1" applyBorder="1" applyAlignment="1" applyProtection="1">
      <alignment horizontal="center" vertical="center" wrapText="1"/>
    </xf>
    <xf numFmtId="0" fontId="20" fillId="14" borderId="20" xfId="0" applyFont="1" applyFill="1" applyBorder="1" applyAlignment="1" applyProtection="1">
      <alignment horizontal="center" vertical="center"/>
    </xf>
    <xf numFmtId="0" fontId="29" fillId="14" borderId="20" xfId="0" applyFont="1" applyFill="1" applyBorder="1" applyAlignment="1" applyProtection="1">
      <alignment horizontal="center" vertical="center" wrapText="1"/>
    </xf>
    <xf numFmtId="0" fontId="20" fillId="17" borderId="20" xfId="0" applyFont="1" applyFill="1" applyBorder="1" applyAlignment="1" applyProtection="1">
      <alignment horizontal="center" vertical="center"/>
    </xf>
    <xf numFmtId="0" fontId="20" fillId="17" borderId="21" xfId="0" applyFont="1" applyFill="1" applyBorder="1" applyAlignment="1" applyProtection="1">
      <alignment horizontal="center" vertical="center"/>
    </xf>
    <xf numFmtId="0" fontId="29" fillId="17" borderId="21" xfId="0" quotePrefix="1" applyFont="1" applyFill="1" applyBorder="1" applyAlignment="1" applyProtection="1">
      <alignment horizontal="center" vertical="center" wrapText="1"/>
    </xf>
    <xf numFmtId="0" fontId="20" fillId="17" borderId="54" xfId="0" applyFont="1" applyFill="1" applyBorder="1" applyAlignment="1" applyProtection="1">
      <alignment horizontal="center" vertical="center"/>
    </xf>
    <xf numFmtId="0" fontId="53" fillId="0" borderId="0" xfId="0" applyFont="1" applyAlignment="1" applyProtection="1">
      <alignment horizontal="right"/>
    </xf>
    <xf numFmtId="7" fontId="44" fillId="19" borderId="60" xfId="0" applyNumberFormat="1" applyFont="1" applyFill="1" applyBorder="1" applyAlignment="1" applyProtection="1">
      <alignment horizontal="center" vertical="center" wrapText="1"/>
    </xf>
    <xf numFmtId="9" fontId="44" fillId="19" borderId="60" xfId="0" applyNumberFormat="1" applyFont="1" applyFill="1" applyBorder="1" applyAlignment="1" applyProtection="1">
      <alignment horizontal="center" vertical="center" wrapText="1"/>
    </xf>
    <xf numFmtId="5" fontId="44" fillId="19" borderId="61" xfId="0" applyNumberFormat="1" applyFont="1" applyFill="1" applyBorder="1" applyAlignment="1" applyProtection="1">
      <alignment horizontal="center" vertical="center" wrapText="1"/>
    </xf>
    <xf numFmtId="7" fontId="45" fillId="19" borderId="61" xfId="0" applyNumberFormat="1" applyFont="1" applyFill="1" applyBorder="1" applyAlignment="1" applyProtection="1">
      <alignment horizontal="center" vertical="center"/>
    </xf>
    <xf numFmtId="164" fontId="44" fillId="19" borderId="61" xfId="0" applyNumberFormat="1" applyFont="1" applyFill="1" applyBorder="1" applyAlignment="1" applyProtection="1">
      <alignment horizontal="center" vertical="center" wrapText="1"/>
    </xf>
    <xf numFmtId="7" fontId="44" fillId="19" borderId="61" xfId="0" applyNumberFormat="1" applyFont="1" applyFill="1" applyBorder="1" applyAlignment="1" applyProtection="1">
      <alignment horizontal="center" vertical="center" wrapText="1"/>
    </xf>
    <xf numFmtId="0" fontId="44" fillId="19" borderId="61" xfId="0" applyFont="1" applyFill="1" applyBorder="1" applyAlignment="1" applyProtection="1">
      <alignment horizontal="center" vertical="center" wrapText="1"/>
    </xf>
    <xf numFmtId="169" fontId="44" fillId="19" borderId="61" xfId="0" applyNumberFormat="1" applyFont="1" applyFill="1" applyBorder="1" applyAlignment="1" applyProtection="1">
      <alignment horizontal="center" vertical="center" wrapText="1"/>
    </xf>
    <xf numFmtId="9" fontId="44" fillId="23" borderId="61" xfId="0" applyNumberFormat="1" applyFont="1" applyFill="1" applyBorder="1" applyAlignment="1" applyProtection="1">
      <alignment horizontal="center" vertical="center" wrapText="1"/>
    </xf>
    <xf numFmtId="171" fontId="45" fillId="23" borderId="61" xfId="0" applyNumberFormat="1" applyFont="1" applyFill="1" applyBorder="1" applyAlignment="1" applyProtection="1">
      <alignment horizontal="center" vertical="center"/>
    </xf>
    <xf numFmtId="9" fontId="44" fillId="19" borderId="61" xfId="0" applyNumberFormat="1" applyFont="1" applyFill="1" applyBorder="1" applyAlignment="1" applyProtection="1">
      <alignment horizontal="center" vertical="center" wrapText="1"/>
    </xf>
    <xf numFmtId="9" fontId="44" fillId="23" borderId="61" xfId="4" applyFont="1" applyFill="1" applyBorder="1" applyAlignment="1" applyProtection="1">
      <alignment horizontal="center" vertical="center" wrapText="1"/>
    </xf>
    <xf numFmtId="0" fontId="45" fillId="23" borderId="61" xfId="0" applyFont="1" applyFill="1" applyBorder="1" applyAlignment="1" applyProtection="1">
      <alignment horizontal="center" vertical="center"/>
    </xf>
    <xf numFmtId="0" fontId="45" fillId="23" borderId="62" xfId="0" applyFont="1" applyFill="1" applyBorder="1" applyAlignment="1" applyProtection="1">
      <alignment horizontal="center" vertical="center"/>
    </xf>
    <xf numFmtId="0" fontId="54" fillId="0" borderId="0" xfId="0" applyFont="1" applyAlignment="1" applyProtection="1">
      <alignment horizontal="center" vertical="center"/>
    </xf>
    <xf numFmtId="0" fontId="10" fillId="8" borderId="56" xfId="0" applyFont="1" applyFill="1" applyBorder="1" applyAlignment="1" applyProtection="1">
      <alignment vertical="center" wrapText="1"/>
    </xf>
    <xf numFmtId="0" fontId="10" fillId="8" borderId="7" xfId="0" applyFont="1" applyFill="1" applyBorder="1" applyAlignment="1" applyProtection="1">
      <alignment horizontal="center" vertical="center"/>
    </xf>
    <xf numFmtId="165" fontId="41" fillId="8" borderId="14" xfId="2" applyNumberFormat="1" applyFont="1" applyFill="1" applyBorder="1" applyAlignment="1" applyProtection="1">
      <alignment horizontal="left" vertical="center"/>
    </xf>
    <xf numFmtId="7" fontId="23" fillId="14" borderId="7" xfId="2" applyNumberFormat="1" applyFont="1" applyFill="1" applyBorder="1" applyAlignment="1" applyProtection="1">
      <alignment horizontal="center" vertical="center"/>
    </xf>
    <xf numFmtId="0" fontId="23" fillId="14" borderId="7" xfId="2" applyNumberFormat="1" applyFont="1" applyFill="1" applyBorder="1" applyAlignment="1" applyProtection="1">
      <alignment horizontal="center" vertical="center"/>
    </xf>
    <xf numFmtId="9" fontId="23" fillId="14" borderId="7" xfId="2" applyNumberFormat="1" applyFont="1" applyFill="1" applyBorder="1" applyAlignment="1" applyProtection="1">
      <alignment horizontal="center" vertical="center"/>
    </xf>
    <xf numFmtId="5" fontId="23" fillId="14" borderId="7" xfId="2" applyNumberFormat="1" applyFont="1" applyFill="1" applyBorder="1" applyAlignment="1" applyProtection="1">
      <alignment horizontal="center" vertical="center"/>
    </xf>
    <xf numFmtId="7" fontId="22" fillId="14" borderId="7" xfId="2" applyNumberFormat="1" applyFont="1" applyFill="1" applyBorder="1" applyAlignment="1" applyProtection="1">
      <alignment horizontal="center" vertical="center"/>
    </xf>
    <xf numFmtId="164" fontId="22" fillId="14" borderId="7" xfId="2" applyNumberFormat="1" applyFont="1" applyFill="1" applyBorder="1" applyAlignment="1" applyProtection="1">
      <alignment horizontal="center" vertical="center"/>
    </xf>
    <xf numFmtId="169" fontId="22" fillId="14" borderId="7" xfId="2" applyNumberFormat="1" applyFont="1" applyFill="1" applyBorder="1" applyAlignment="1" applyProtection="1">
      <alignment horizontal="center" vertical="center"/>
    </xf>
    <xf numFmtId="9" fontId="22" fillId="15" borderId="7" xfId="4" applyNumberFormat="1" applyFont="1" applyFill="1" applyBorder="1" applyAlignment="1" applyProtection="1">
      <alignment horizontal="center" vertical="center"/>
    </xf>
    <xf numFmtId="171" fontId="1" fillId="15" borderId="7" xfId="2" applyNumberFormat="1" applyFont="1" applyFill="1" applyBorder="1" applyAlignment="1" applyProtection="1">
      <alignment horizontal="center" vertical="center"/>
    </xf>
    <xf numFmtId="9" fontId="22" fillId="17" borderId="7" xfId="4" applyFont="1" applyFill="1" applyBorder="1" applyAlignment="1" applyProtection="1">
      <alignment horizontal="center" vertical="center"/>
    </xf>
    <xf numFmtId="164" fontId="22" fillId="17" borderId="7" xfId="4" applyNumberFormat="1" applyFont="1" applyFill="1" applyBorder="1" applyAlignment="1" applyProtection="1">
      <alignment horizontal="center" vertical="center"/>
    </xf>
    <xf numFmtId="0" fontId="22" fillId="17" borderId="7" xfId="2" applyNumberFormat="1" applyFont="1" applyFill="1" applyBorder="1" applyAlignment="1" applyProtection="1">
      <alignment horizontal="center" vertical="center"/>
    </xf>
    <xf numFmtId="0" fontId="1" fillId="17" borderId="7" xfId="2" applyNumberFormat="1" applyFont="1" applyFill="1" applyBorder="1" applyAlignment="1" applyProtection="1">
      <alignment horizontal="center" vertical="center"/>
    </xf>
    <xf numFmtId="9" fontId="22" fillId="17" borderId="7" xfId="2" applyNumberFormat="1" applyFont="1" applyFill="1" applyBorder="1" applyAlignment="1" applyProtection="1">
      <alignment horizontal="center" vertical="center"/>
    </xf>
    <xf numFmtId="0" fontId="22" fillId="17" borderId="22" xfId="2" applyNumberFormat="1" applyFont="1" applyFill="1" applyBorder="1" applyAlignment="1" applyProtection="1">
      <alignment horizontal="center" vertical="center"/>
    </xf>
    <xf numFmtId="0" fontId="10" fillId="8" borderId="25" xfId="0" applyFont="1" applyFill="1" applyBorder="1" applyAlignment="1" applyProtection="1">
      <alignment vertical="center" wrapText="1"/>
    </xf>
    <xf numFmtId="9" fontId="23" fillId="14" borderId="2" xfId="2" applyNumberFormat="1" applyFont="1" applyFill="1" applyBorder="1" applyAlignment="1" applyProtection="1">
      <alignment horizontal="center" vertical="center"/>
    </xf>
    <xf numFmtId="5" fontId="23" fillId="14" borderId="2" xfId="2" applyNumberFormat="1" applyFont="1" applyFill="1" applyBorder="1" applyAlignment="1" applyProtection="1">
      <alignment horizontal="center" vertical="center"/>
    </xf>
    <xf numFmtId="0" fontId="23" fillId="14" borderId="2" xfId="2" applyNumberFormat="1" applyFont="1" applyFill="1" applyBorder="1" applyAlignment="1" applyProtection="1">
      <alignment horizontal="center" vertical="center"/>
    </xf>
    <xf numFmtId="9" fontId="22" fillId="15" borderId="2" xfId="4" applyFont="1" applyFill="1" applyBorder="1" applyAlignment="1" applyProtection="1">
      <alignment horizontal="center" vertical="center"/>
    </xf>
    <xf numFmtId="171" fontId="1" fillId="15" borderId="2" xfId="2" applyNumberFormat="1" applyFont="1" applyFill="1" applyBorder="1" applyAlignment="1" applyProtection="1">
      <alignment horizontal="center" vertical="center"/>
    </xf>
    <xf numFmtId="0" fontId="22" fillId="17" borderId="2" xfId="2" applyNumberFormat="1" applyFont="1" applyFill="1" applyBorder="1" applyAlignment="1" applyProtection="1">
      <alignment horizontal="center" vertical="center"/>
    </xf>
    <xf numFmtId="0" fontId="1" fillId="17" borderId="2" xfId="2" applyNumberFormat="1" applyFont="1" applyFill="1" applyBorder="1" applyAlignment="1" applyProtection="1">
      <alignment horizontal="center" vertical="center"/>
    </xf>
    <xf numFmtId="164" fontId="22" fillId="17" borderId="22" xfId="2" applyNumberFormat="1" applyFont="1" applyFill="1" applyBorder="1" applyAlignment="1" applyProtection="1">
      <alignment horizontal="center" vertical="center"/>
    </xf>
    <xf numFmtId="0" fontId="10" fillId="8" borderId="24" xfId="0" applyFont="1" applyFill="1" applyBorder="1" applyAlignment="1" applyProtection="1">
      <alignment vertical="center" wrapText="1"/>
    </xf>
    <xf numFmtId="9" fontId="22" fillId="15" borderId="2" xfId="4" applyNumberFormat="1" applyFont="1" applyFill="1" applyBorder="1" applyAlignment="1" applyProtection="1">
      <alignment horizontal="center" vertical="center"/>
    </xf>
    <xf numFmtId="164" fontId="22" fillId="17" borderId="7" xfId="2" applyNumberFormat="1" applyFont="1" applyFill="1" applyBorder="1" applyAlignment="1" applyProtection="1">
      <alignment horizontal="center" vertical="center"/>
    </xf>
    <xf numFmtId="0" fontId="35" fillId="8" borderId="19" xfId="0" applyFont="1" applyFill="1" applyBorder="1" applyAlignment="1" applyProtection="1">
      <alignment vertical="center" wrapText="1"/>
    </xf>
    <xf numFmtId="0" fontId="1" fillId="8" borderId="3" xfId="0" applyFont="1" applyFill="1" applyBorder="1" applyAlignment="1" applyProtection="1">
      <alignment horizontal="center" vertical="center"/>
    </xf>
    <xf numFmtId="165" fontId="41" fillId="8" borderId="48" xfId="2" applyNumberFormat="1" applyFont="1" applyFill="1" applyBorder="1" applyAlignment="1" applyProtection="1">
      <alignment horizontal="center" vertical="center"/>
    </xf>
    <xf numFmtId="5" fontId="23" fillId="14" borderId="3" xfId="2" applyNumberFormat="1" applyFont="1" applyFill="1" applyBorder="1" applyAlignment="1" applyProtection="1">
      <alignment horizontal="center" vertical="center"/>
    </xf>
    <xf numFmtId="7" fontId="22" fillId="14" borderId="26" xfId="2" applyNumberFormat="1" applyFont="1" applyFill="1" applyBorder="1" applyAlignment="1" applyProtection="1">
      <alignment horizontal="center" vertical="center"/>
    </xf>
    <xf numFmtId="164" fontId="22" fillId="14" borderId="26" xfId="2" applyNumberFormat="1" applyFont="1" applyFill="1" applyBorder="1" applyAlignment="1" applyProtection="1">
      <alignment horizontal="center" vertical="center"/>
    </xf>
    <xf numFmtId="9" fontId="22" fillId="15" borderId="3" xfId="4" applyNumberFormat="1" applyFont="1" applyFill="1" applyBorder="1" applyAlignment="1" applyProtection="1">
      <alignment horizontal="center" vertical="center"/>
    </xf>
    <xf numFmtId="171" fontId="1" fillId="15" borderId="3" xfId="2" applyNumberFormat="1" applyFont="1" applyFill="1" applyBorder="1" applyAlignment="1" applyProtection="1">
      <alignment horizontal="center" vertical="center"/>
    </xf>
    <xf numFmtId="171" fontId="1" fillId="15" borderId="26" xfId="2" applyNumberFormat="1" applyFont="1" applyFill="1" applyBorder="1" applyAlignment="1" applyProtection="1">
      <alignment horizontal="center" vertical="center"/>
    </xf>
    <xf numFmtId="9" fontId="22" fillId="17" borderId="26" xfId="4" applyFont="1" applyFill="1" applyBorder="1" applyAlignment="1" applyProtection="1">
      <alignment horizontal="center" vertical="center"/>
    </xf>
    <xf numFmtId="164" fontId="22" fillId="17" borderId="26" xfId="4" applyNumberFormat="1" applyFont="1" applyFill="1" applyBorder="1" applyAlignment="1" applyProtection="1">
      <alignment horizontal="center" vertical="center"/>
    </xf>
    <xf numFmtId="0" fontId="22" fillId="17" borderId="3" xfId="2" applyNumberFormat="1" applyFont="1" applyFill="1" applyBorder="1" applyAlignment="1" applyProtection="1">
      <alignment horizontal="center" vertical="center"/>
    </xf>
    <xf numFmtId="0" fontId="22" fillId="17" borderId="26" xfId="2" applyNumberFormat="1" applyFont="1" applyFill="1" applyBorder="1" applyAlignment="1" applyProtection="1">
      <alignment horizontal="center" vertical="center"/>
    </xf>
    <xf numFmtId="0" fontId="1" fillId="17" borderId="26" xfId="2" applyNumberFormat="1" applyFont="1" applyFill="1" applyBorder="1" applyAlignment="1" applyProtection="1">
      <alignment horizontal="center" vertical="center"/>
    </xf>
    <xf numFmtId="164" fontId="22" fillId="17" borderId="26" xfId="2" applyNumberFormat="1" applyFont="1" applyFill="1" applyBorder="1" applyAlignment="1" applyProtection="1">
      <alignment horizontal="center" vertical="center"/>
    </xf>
    <xf numFmtId="164" fontId="22" fillId="17" borderId="27" xfId="2" applyNumberFormat="1" applyFont="1" applyFill="1" applyBorder="1" applyAlignment="1" applyProtection="1">
      <alignment horizontal="center" vertical="center"/>
    </xf>
    <xf numFmtId="0" fontId="21" fillId="19" borderId="29" xfId="0" applyFont="1" applyFill="1" applyBorder="1" applyAlignment="1" applyProtection="1">
      <alignment horizontal="center" vertical="center" textRotation="90" wrapText="1"/>
    </xf>
    <xf numFmtId="0" fontId="10" fillId="6" borderId="40" xfId="0" applyFont="1" applyFill="1" applyBorder="1" applyAlignment="1" applyProtection="1">
      <alignment horizontal="center" vertical="center" wrapText="1"/>
    </xf>
    <xf numFmtId="0" fontId="43" fillId="0" borderId="0" xfId="0" applyFont="1" applyProtection="1"/>
    <xf numFmtId="0" fontId="43" fillId="0" borderId="0" xfId="0" applyFont="1" applyAlignment="1" applyProtection="1">
      <alignment horizontal="center"/>
    </xf>
    <xf numFmtId="0" fontId="21" fillId="0" borderId="0" xfId="0" applyFont="1" applyProtection="1"/>
    <xf numFmtId="0" fontId="1" fillId="4" borderId="17" xfId="0" applyFont="1" applyFill="1" applyBorder="1" applyAlignment="1" applyProtection="1">
      <alignment vertical="center" wrapText="1"/>
    </xf>
    <xf numFmtId="0" fontId="1" fillId="4" borderId="9" xfId="0" applyFont="1" applyFill="1" applyBorder="1" applyProtection="1"/>
    <xf numFmtId="0" fontId="1" fillId="4" borderId="18" xfId="0" applyFont="1" applyFill="1" applyBorder="1" applyAlignment="1" applyProtection="1">
      <alignment vertical="center" wrapText="1"/>
    </xf>
    <xf numFmtId="170" fontId="1" fillId="4" borderId="10" xfId="2" applyNumberFormat="1" applyFont="1" applyFill="1" applyBorder="1" applyProtection="1"/>
    <xf numFmtId="0" fontId="1" fillId="4" borderId="19" xfId="0" applyFont="1" applyFill="1" applyBorder="1" applyAlignment="1" applyProtection="1">
      <alignment horizontal="left" wrapText="1"/>
    </xf>
    <xf numFmtId="0" fontId="1" fillId="4" borderId="11" xfId="0" applyFont="1" applyFill="1" applyBorder="1" applyProtection="1"/>
    <xf numFmtId="0" fontId="1" fillId="8" borderId="28" xfId="0" applyFont="1" applyFill="1" applyBorder="1" applyProtection="1"/>
    <xf numFmtId="170" fontId="1" fillId="8" borderId="38" xfId="2" applyNumberFormat="1" applyFont="1" applyFill="1" applyBorder="1" applyProtection="1"/>
    <xf numFmtId="0" fontId="1" fillId="8" borderId="67" xfId="0" applyFont="1" applyFill="1" applyBorder="1" applyAlignment="1" applyProtection="1">
      <alignment horizontal="left" wrapText="1"/>
    </xf>
    <xf numFmtId="0" fontId="1" fillId="8" borderId="49" xfId="0" applyFont="1" applyFill="1" applyBorder="1" applyProtection="1"/>
    <xf numFmtId="0" fontId="1" fillId="8" borderId="45" xfId="0" applyFont="1" applyFill="1" applyBorder="1" applyAlignment="1" applyProtection="1">
      <alignment horizontal="left" wrapText="1"/>
    </xf>
    <xf numFmtId="0" fontId="1" fillId="8" borderId="50" xfId="0" applyFont="1" applyFill="1" applyBorder="1" applyAlignment="1" applyProtection="1">
      <alignment wrapText="1"/>
    </xf>
    <xf numFmtId="0" fontId="1" fillId="15" borderId="17" xfId="0" applyFont="1" applyFill="1" applyBorder="1" applyAlignment="1" applyProtection="1">
      <alignment horizontal="left" vertical="center" wrapText="1"/>
    </xf>
    <xf numFmtId="0" fontId="1" fillId="15" borderId="19" xfId="0" applyFont="1" applyFill="1" applyBorder="1" applyAlignment="1" applyProtection="1">
      <alignment horizontal="left" vertical="center" wrapText="1"/>
    </xf>
    <xf numFmtId="0" fontId="21" fillId="0" borderId="15" xfId="0" applyFont="1" applyBorder="1" applyAlignment="1" applyProtection="1">
      <alignment horizontal="center" vertical="center" wrapText="1"/>
    </xf>
    <xf numFmtId="165" fontId="21" fillId="0" borderId="28" xfId="2" applyNumberFormat="1" applyFont="1" applyFill="1" applyBorder="1" applyAlignment="1" applyProtection="1">
      <alignment horizontal="center" vertical="center" wrapText="1"/>
    </xf>
    <xf numFmtId="0" fontId="39" fillId="12" borderId="17" xfId="0" applyFont="1" applyFill="1" applyBorder="1" applyAlignment="1" applyProtection="1">
      <alignment horizontal="left" vertical="center"/>
    </xf>
    <xf numFmtId="0" fontId="10" fillId="6" borderId="18" xfId="0" applyFont="1" applyFill="1" applyBorder="1" applyAlignment="1" applyProtection="1">
      <alignment horizontal="left" vertical="center" indent="1"/>
    </xf>
    <xf numFmtId="0" fontId="39" fillId="13" borderId="18" xfId="0" applyFont="1" applyFill="1" applyBorder="1" applyAlignment="1" applyProtection="1">
      <alignment horizontal="left" vertical="center"/>
    </xf>
    <xf numFmtId="0" fontId="10" fillId="6" borderId="19" xfId="0" applyFont="1" applyFill="1" applyBorder="1" applyAlignment="1" applyProtection="1">
      <alignment horizontal="left" indent="1"/>
    </xf>
    <xf numFmtId="0" fontId="29" fillId="6" borderId="47" xfId="0" applyFont="1" applyFill="1" applyBorder="1" applyAlignment="1" applyProtection="1">
      <alignment vertical="center"/>
    </xf>
    <xf numFmtId="0" fontId="1" fillId="6" borderId="42" xfId="0" applyFont="1" applyFill="1" applyBorder="1" applyAlignment="1" applyProtection="1">
      <alignment vertical="center"/>
    </xf>
    <xf numFmtId="0" fontId="35" fillId="6" borderId="43" xfId="0" applyFont="1" applyFill="1" applyBorder="1" applyAlignment="1" applyProtection="1">
      <alignment horizontal="right" vertical="center"/>
    </xf>
    <xf numFmtId="14" fontId="1" fillId="6" borderId="44" xfId="0" applyNumberFormat="1" applyFont="1" applyFill="1" applyBorder="1" applyAlignment="1" applyProtection="1">
      <alignment horizontal="left" vertical="center"/>
    </xf>
    <xf numFmtId="0" fontId="21" fillId="4" borderId="30" xfId="0" applyFont="1" applyFill="1" applyBorder="1" applyProtection="1"/>
    <xf numFmtId="0" fontId="1" fillId="4" borderId="28" xfId="0" applyFont="1" applyFill="1" applyBorder="1" applyProtection="1"/>
    <xf numFmtId="0" fontId="1" fillId="8" borderId="35" xfId="0" applyFont="1" applyFill="1" applyBorder="1" applyProtection="1"/>
    <xf numFmtId="0" fontId="28" fillId="8" borderId="31" xfId="0" applyFont="1" applyFill="1" applyBorder="1" applyProtection="1"/>
    <xf numFmtId="0" fontId="28" fillId="8" borderId="28" xfId="0" applyFont="1" applyFill="1" applyBorder="1" applyProtection="1"/>
    <xf numFmtId="0" fontId="1" fillId="4" borderId="46" xfId="0" applyFont="1" applyFill="1" applyBorder="1" applyProtection="1"/>
    <xf numFmtId="0" fontId="1" fillId="4" borderId="32" xfId="0" applyFont="1" applyFill="1" applyBorder="1" applyProtection="1"/>
    <xf numFmtId="0" fontId="1" fillId="8" borderId="36" xfId="0" applyFont="1" applyFill="1" applyBorder="1" applyProtection="1"/>
    <xf numFmtId="0" fontId="1" fillId="8" borderId="0" xfId="0" applyFont="1" applyFill="1" applyBorder="1" applyProtection="1"/>
    <xf numFmtId="0" fontId="1" fillId="8" borderId="32" xfId="0" applyFont="1" applyFill="1" applyBorder="1" applyProtection="1"/>
    <xf numFmtId="0" fontId="1" fillId="4" borderId="65" xfId="0" applyFont="1" applyFill="1" applyBorder="1" applyProtection="1"/>
    <xf numFmtId="0" fontId="1" fillId="4" borderId="34" xfId="0" applyFont="1" applyFill="1" applyBorder="1" applyProtection="1"/>
    <xf numFmtId="0" fontId="1" fillId="8" borderId="37" xfId="0" applyFont="1" applyFill="1" applyBorder="1" applyProtection="1"/>
    <xf numFmtId="0" fontId="1" fillId="8" borderId="33" xfId="0" applyFont="1" applyFill="1" applyBorder="1" applyProtection="1"/>
    <xf numFmtId="0" fontId="1" fillId="8" borderId="34" xfId="0" applyFont="1" applyFill="1" applyBorder="1" applyProtection="1"/>
    <xf numFmtId="7" fontId="44" fillId="19" borderId="60" xfId="0" applyNumberFormat="1" applyFont="1" applyFill="1" applyBorder="1" applyAlignment="1" applyProtection="1">
      <alignment horizontal="center" vertical="center" wrapText="1"/>
      <protection locked="0"/>
    </xf>
    <xf numFmtId="0" fontId="44" fillId="19" borderId="60" xfId="0" applyFont="1" applyFill="1" applyBorder="1" applyAlignment="1" applyProtection="1">
      <alignment horizontal="center" vertical="center" wrapText="1"/>
      <protection locked="0"/>
    </xf>
    <xf numFmtId="9" fontId="44" fillId="19" borderId="60" xfId="0" applyNumberFormat="1" applyFont="1" applyFill="1" applyBorder="1" applyAlignment="1" applyProtection="1">
      <alignment horizontal="center" vertical="center" wrapText="1"/>
      <protection locked="0"/>
    </xf>
    <xf numFmtId="5" fontId="44" fillId="19" borderId="61" xfId="0" applyNumberFormat="1" applyFont="1" applyFill="1" applyBorder="1" applyAlignment="1" applyProtection="1">
      <alignment horizontal="center" vertical="center" wrapText="1"/>
      <protection locked="0"/>
    </xf>
    <xf numFmtId="7" fontId="45" fillId="19" borderId="61" xfId="0" applyNumberFormat="1" applyFont="1" applyFill="1" applyBorder="1" applyAlignment="1" applyProtection="1">
      <alignment horizontal="center" vertical="center"/>
      <protection locked="0"/>
    </xf>
    <xf numFmtId="164" fontId="44" fillId="19" borderId="61" xfId="0" applyNumberFormat="1" applyFont="1" applyFill="1" applyBorder="1" applyAlignment="1" applyProtection="1">
      <alignment horizontal="center" vertical="center" wrapText="1"/>
      <protection locked="0"/>
    </xf>
    <xf numFmtId="7" fontId="44" fillId="19" borderId="61" xfId="0" applyNumberFormat="1" applyFont="1" applyFill="1" applyBorder="1" applyAlignment="1" applyProtection="1">
      <alignment horizontal="center" vertical="center" wrapText="1"/>
      <protection locked="0"/>
    </xf>
    <xf numFmtId="0" fontId="44" fillId="19" borderId="61" xfId="0" applyFont="1" applyFill="1" applyBorder="1" applyAlignment="1" applyProtection="1">
      <alignment horizontal="center" vertical="center" wrapText="1"/>
      <protection locked="0"/>
    </xf>
    <xf numFmtId="169" fontId="44" fillId="19" borderId="61" xfId="0" applyNumberFormat="1" applyFont="1" applyFill="1" applyBorder="1" applyAlignment="1" applyProtection="1">
      <alignment horizontal="center" vertical="center" wrapText="1"/>
      <protection locked="0"/>
    </xf>
    <xf numFmtId="9" fontId="44" fillId="19" borderId="61" xfId="0" applyNumberFormat="1" applyFont="1" applyFill="1" applyBorder="1" applyAlignment="1" applyProtection="1">
      <alignment horizontal="center" vertical="center" wrapText="1"/>
      <protection locked="0"/>
    </xf>
    <xf numFmtId="7" fontId="23" fillId="14" borderId="7" xfId="2" applyNumberFormat="1" applyFont="1" applyFill="1" applyBorder="1" applyAlignment="1" applyProtection="1">
      <alignment horizontal="center" vertical="center"/>
      <protection locked="0"/>
    </xf>
    <xf numFmtId="0" fontId="23" fillId="14" borderId="7" xfId="2" applyNumberFormat="1" applyFont="1" applyFill="1" applyBorder="1" applyAlignment="1" applyProtection="1">
      <alignment horizontal="center" vertical="center"/>
      <protection locked="0"/>
    </xf>
    <xf numFmtId="9" fontId="23" fillId="14" borderId="7" xfId="2" applyNumberFormat="1" applyFont="1" applyFill="1" applyBorder="1" applyAlignment="1" applyProtection="1">
      <alignment horizontal="center" vertical="center"/>
      <protection locked="0"/>
    </xf>
    <xf numFmtId="5" fontId="23" fillId="14" borderId="7" xfId="2" applyNumberFormat="1" applyFont="1" applyFill="1" applyBorder="1" applyAlignment="1" applyProtection="1">
      <alignment horizontal="center" vertical="center"/>
      <protection locked="0"/>
    </xf>
    <xf numFmtId="7" fontId="22" fillId="14" borderId="7" xfId="2" applyNumberFormat="1" applyFont="1" applyFill="1" applyBorder="1" applyAlignment="1" applyProtection="1">
      <alignment horizontal="center" vertical="center"/>
      <protection locked="0"/>
    </xf>
    <xf numFmtId="164" fontId="22" fillId="14" borderId="7" xfId="2" applyNumberFormat="1" applyFont="1" applyFill="1" applyBorder="1" applyAlignment="1" applyProtection="1">
      <alignment horizontal="center" vertical="center"/>
      <protection locked="0"/>
    </xf>
    <xf numFmtId="169" fontId="22" fillId="14" borderId="7" xfId="2" applyNumberFormat="1" applyFont="1" applyFill="1" applyBorder="1" applyAlignment="1" applyProtection="1">
      <alignment horizontal="center" vertical="center"/>
      <protection locked="0"/>
    </xf>
    <xf numFmtId="9" fontId="22" fillId="15" borderId="7" xfId="4" applyNumberFormat="1" applyFont="1" applyFill="1" applyBorder="1" applyAlignment="1" applyProtection="1">
      <alignment horizontal="center" vertical="center"/>
      <protection locked="0"/>
    </xf>
    <xf numFmtId="171" fontId="1" fillId="15" borderId="7" xfId="2" applyNumberFormat="1" applyFont="1" applyFill="1" applyBorder="1" applyAlignment="1" applyProtection="1">
      <alignment horizontal="center" vertical="center"/>
      <protection locked="0"/>
    </xf>
    <xf numFmtId="9" fontId="22" fillId="17" borderId="7" xfId="4" applyFont="1" applyFill="1" applyBorder="1" applyAlignment="1" applyProtection="1">
      <alignment horizontal="center" vertical="center"/>
      <protection locked="0"/>
    </xf>
    <xf numFmtId="164" fontId="22" fillId="17" borderId="7" xfId="4" applyNumberFormat="1" applyFont="1" applyFill="1" applyBorder="1" applyAlignment="1" applyProtection="1">
      <alignment horizontal="center" vertical="center"/>
      <protection locked="0"/>
    </xf>
    <xf numFmtId="0" fontId="22" fillId="17" borderId="7" xfId="2" applyNumberFormat="1" applyFont="1" applyFill="1" applyBorder="1" applyAlignment="1" applyProtection="1">
      <alignment horizontal="center" vertical="center"/>
      <protection locked="0"/>
    </xf>
    <xf numFmtId="0" fontId="1" fillId="17" borderId="7" xfId="2" applyNumberFormat="1" applyFont="1" applyFill="1" applyBorder="1" applyAlignment="1" applyProtection="1">
      <alignment horizontal="center" vertical="center"/>
      <protection locked="0"/>
    </xf>
    <xf numFmtId="9" fontId="22" fillId="17" borderId="7" xfId="2" applyNumberFormat="1" applyFont="1" applyFill="1" applyBorder="1" applyAlignment="1" applyProtection="1">
      <alignment horizontal="center" vertical="center"/>
      <protection locked="0"/>
    </xf>
    <xf numFmtId="0" fontId="22" fillId="17" borderId="22" xfId="2" applyNumberFormat="1" applyFont="1" applyFill="1" applyBorder="1" applyAlignment="1" applyProtection="1">
      <alignment horizontal="center" vertical="center"/>
      <protection locked="0"/>
    </xf>
    <xf numFmtId="9" fontId="23" fillId="14" borderId="2" xfId="2" applyNumberFormat="1" applyFont="1" applyFill="1" applyBorder="1" applyAlignment="1" applyProtection="1">
      <alignment horizontal="center" vertical="center"/>
      <protection locked="0"/>
    </xf>
    <xf numFmtId="5" fontId="23" fillId="14" borderId="2" xfId="2" applyNumberFormat="1" applyFont="1" applyFill="1" applyBorder="1" applyAlignment="1" applyProtection="1">
      <alignment horizontal="center" vertical="center"/>
      <protection locked="0"/>
    </xf>
    <xf numFmtId="0" fontId="23" fillId="14" borderId="2" xfId="2" applyNumberFormat="1" applyFont="1" applyFill="1" applyBorder="1" applyAlignment="1" applyProtection="1">
      <alignment horizontal="center" vertical="center"/>
      <protection locked="0"/>
    </xf>
    <xf numFmtId="9" fontId="22" fillId="15" borderId="2" xfId="4" applyFont="1" applyFill="1" applyBorder="1" applyAlignment="1" applyProtection="1">
      <alignment horizontal="center" vertical="center"/>
      <protection locked="0"/>
    </xf>
    <xf numFmtId="171" fontId="1" fillId="15" borderId="2" xfId="2" applyNumberFormat="1" applyFont="1" applyFill="1" applyBorder="1" applyAlignment="1" applyProtection="1">
      <alignment horizontal="center" vertical="center"/>
      <protection locked="0"/>
    </xf>
    <xf numFmtId="0" fontId="22" fillId="17" borderId="2" xfId="2" applyNumberFormat="1" applyFont="1" applyFill="1" applyBorder="1" applyAlignment="1" applyProtection="1">
      <alignment horizontal="center" vertical="center"/>
      <protection locked="0"/>
    </xf>
    <xf numFmtId="0" fontId="1" fillId="17" borderId="2" xfId="2" applyNumberFormat="1" applyFont="1" applyFill="1" applyBorder="1" applyAlignment="1" applyProtection="1">
      <alignment horizontal="center" vertical="center"/>
      <protection locked="0"/>
    </xf>
    <xf numFmtId="164" fontId="22" fillId="17" borderId="22" xfId="2" applyNumberFormat="1" applyFont="1" applyFill="1" applyBorder="1" applyAlignment="1" applyProtection="1">
      <alignment horizontal="center" vertical="center"/>
      <protection locked="0"/>
    </xf>
    <xf numFmtId="9" fontId="22" fillId="15" borderId="2" xfId="4" applyNumberFormat="1" applyFont="1" applyFill="1" applyBorder="1" applyAlignment="1" applyProtection="1">
      <alignment horizontal="center" vertical="center"/>
      <protection locked="0"/>
    </xf>
    <xf numFmtId="164" fontId="22" fillId="17" borderId="7" xfId="2" applyNumberFormat="1" applyFont="1" applyFill="1" applyBorder="1" applyAlignment="1" applyProtection="1">
      <alignment horizontal="center" vertical="center"/>
      <protection locked="0"/>
    </xf>
    <xf numFmtId="0" fontId="1" fillId="4" borderId="8" xfId="0" applyFont="1" applyFill="1" applyBorder="1" applyProtection="1">
      <protection locked="0"/>
    </xf>
    <xf numFmtId="10" fontId="1" fillId="4" borderId="2" xfId="0" applyNumberFormat="1" applyFont="1" applyFill="1" applyBorder="1" applyProtection="1">
      <protection locked="0"/>
    </xf>
    <xf numFmtId="0" fontId="1" fillId="4" borderId="3" xfId="0" applyFont="1" applyFill="1" applyBorder="1" applyProtection="1">
      <protection locked="0"/>
    </xf>
    <xf numFmtId="0" fontId="1" fillId="8" borderId="15" xfId="0" applyFont="1" applyFill="1" applyBorder="1" applyProtection="1">
      <protection locked="0"/>
    </xf>
    <xf numFmtId="10" fontId="1" fillId="8" borderId="56" xfId="0" applyNumberFormat="1" applyFont="1" applyFill="1" applyBorder="1" applyProtection="1">
      <protection locked="0"/>
    </xf>
    <xf numFmtId="0" fontId="1" fillId="8" borderId="18" xfId="0" applyFont="1" applyFill="1" applyBorder="1" applyProtection="1">
      <protection locked="0"/>
    </xf>
    <xf numFmtId="0" fontId="1" fillId="8" borderId="19" xfId="0" applyFont="1" applyFill="1" applyBorder="1" applyProtection="1">
      <protection locked="0"/>
    </xf>
    <xf numFmtId="9" fontId="1" fillId="15" borderId="8" xfId="4" applyNumberFormat="1" applyFont="1" applyFill="1" applyBorder="1" applyAlignment="1" applyProtection="1">
      <alignment horizontal="right" vertical="center"/>
      <protection locked="0"/>
    </xf>
    <xf numFmtId="9" fontId="1" fillId="15" borderId="3" xfId="0" applyNumberFormat="1" applyFont="1" applyFill="1" applyBorder="1" applyAlignment="1" applyProtection="1">
      <alignment horizontal="right" vertical="center"/>
      <protection locked="0"/>
    </xf>
    <xf numFmtId="9" fontId="1" fillId="6" borderId="10" xfId="4" applyFont="1" applyFill="1" applyBorder="1" applyAlignment="1" applyProtection="1">
      <alignment horizontal="center"/>
      <protection locked="0"/>
    </xf>
    <xf numFmtId="9" fontId="1" fillId="6" borderId="11" xfId="0" applyNumberFormat="1" applyFont="1" applyFill="1" applyBorder="1" applyAlignment="1" applyProtection="1">
      <alignment horizontal="center"/>
      <protection locked="0"/>
    </xf>
    <xf numFmtId="0" fontId="0" fillId="0" borderId="0" xfId="0" applyProtection="1">
      <protection locked="0"/>
    </xf>
    <xf numFmtId="0" fontId="0" fillId="0" borderId="0" xfId="0" applyProtection="1"/>
    <xf numFmtId="0" fontId="47" fillId="14" borderId="19" xfId="0" applyFont="1" applyFill="1" applyBorder="1" applyAlignment="1" applyProtection="1">
      <alignment horizontal="center" vertical="center" wrapText="1"/>
    </xf>
    <xf numFmtId="0" fontId="48" fillId="14" borderId="3" xfId="0" applyFont="1" applyFill="1" applyBorder="1" applyAlignment="1" applyProtection="1">
      <alignment horizontal="center" vertical="center" wrapText="1"/>
    </xf>
    <xf numFmtId="0" fontId="49" fillId="14" borderId="13" xfId="0" applyFont="1" applyFill="1" applyBorder="1" applyAlignment="1" applyProtection="1">
      <alignment horizontal="center" vertical="center" wrapText="1"/>
    </xf>
    <xf numFmtId="0" fontId="49" fillId="14" borderId="50" xfId="0" applyFont="1" applyFill="1" applyBorder="1" applyAlignment="1" applyProtection="1">
      <alignment horizontal="center" vertical="center" wrapText="1"/>
    </xf>
    <xf numFmtId="0" fontId="47" fillId="15" borderId="19" xfId="0" applyFont="1" applyFill="1" applyBorder="1" applyAlignment="1" applyProtection="1">
      <alignment horizontal="center" vertical="center" wrapText="1"/>
    </xf>
    <xf numFmtId="0" fontId="48" fillId="15" borderId="3" xfId="0" applyFont="1" applyFill="1" applyBorder="1" applyAlignment="1" applyProtection="1">
      <alignment horizontal="center" vertical="center" wrapText="1"/>
    </xf>
    <xf numFmtId="0" fontId="49" fillId="15" borderId="50" xfId="0" applyFont="1" applyFill="1" applyBorder="1" applyAlignment="1" applyProtection="1">
      <alignment horizontal="center" vertical="center" wrapText="1"/>
    </xf>
    <xf numFmtId="5" fontId="37" fillId="14" borderId="39" xfId="2" applyNumberFormat="1" applyFont="1" applyFill="1" applyBorder="1" applyAlignment="1" applyProtection="1">
      <alignment horizontal="center" vertical="center" wrapText="1"/>
    </xf>
    <xf numFmtId="5" fontId="50" fillId="14" borderId="40" xfId="2" applyNumberFormat="1" applyFont="1" applyFill="1" applyBorder="1" applyAlignment="1" applyProtection="1">
      <alignment horizontal="center" vertical="center" wrapText="1"/>
    </xf>
    <xf numFmtId="164" fontId="37" fillId="14" borderId="42" xfId="2" applyNumberFormat="1" applyFont="1" applyFill="1" applyBorder="1" applyAlignment="1" applyProtection="1">
      <alignment horizontal="center" vertical="center" wrapText="1"/>
    </xf>
    <xf numFmtId="164" fontId="37" fillId="14" borderId="44" xfId="2" applyNumberFormat="1" applyFont="1" applyFill="1" applyBorder="1" applyAlignment="1" applyProtection="1">
      <alignment horizontal="center" vertical="center" wrapText="1"/>
    </xf>
    <xf numFmtId="5" fontId="37" fillId="15" borderId="40" xfId="2" applyNumberFormat="1" applyFont="1" applyFill="1" applyBorder="1" applyAlignment="1" applyProtection="1">
      <alignment horizontal="center" vertical="center" wrapText="1"/>
    </xf>
    <xf numFmtId="5" fontId="50" fillId="15" borderId="40" xfId="2" applyNumberFormat="1" applyFont="1" applyFill="1" applyBorder="1" applyAlignment="1" applyProtection="1">
      <alignment horizontal="center" vertical="center" wrapText="1"/>
    </xf>
    <xf numFmtId="164" fontId="37" fillId="15" borderId="44" xfId="2" applyNumberFormat="1" applyFont="1" applyFill="1" applyBorder="1" applyAlignment="1" applyProtection="1">
      <alignment horizontal="center" vertical="center" wrapText="1"/>
    </xf>
    <xf numFmtId="5" fontId="37" fillId="14" borderId="56" xfId="2" applyNumberFormat="1" applyFont="1" applyFill="1" applyBorder="1" applyAlignment="1" applyProtection="1">
      <alignment horizontal="center" vertical="center" wrapText="1"/>
    </xf>
    <xf numFmtId="5" fontId="50" fillId="14" borderId="26" xfId="2" applyNumberFormat="1" applyFont="1" applyFill="1" applyBorder="1" applyAlignment="1" applyProtection="1">
      <alignment horizontal="center" vertical="center" wrapText="1"/>
    </xf>
    <xf numFmtId="5" fontId="37" fillId="15" borderId="7" xfId="2" applyNumberFormat="1" applyFont="1" applyFill="1" applyBorder="1" applyAlignment="1" applyProtection="1">
      <alignment horizontal="center" vertical="center" wrapText="1"/>
    </xf>
    <xf numFmtId="5" fontId="50" fillId="15" borderId="26" xfId="2" applyNumberFormat="1" applyFont="1" applyFill="1" applyBorder="1" applyAlignment="1" applyProtection="1">
      <alignment horizontal="center" vertical="center" wrapText="1"/>
    </xf>
    <xf numFmtId="5" fontId="37" fillId="14" borderId="17" xfId="2" applyNumberFormat="1" applyFont="1" applyFill="1" applyBorder="1" applyAlignment="1" applyProtection="1">
      <alignment horizontal="center" vertical="center" wrapText="1"/>
    </xf>
    <xf numFmtId="5" fontId="37" fillId="15" borderId="8" xfId="2" applyNumberFormat="1" applyFont="1" applyFill="1" applyBorder="1" applyAlignment="1" applyProtection="1">
      <alignment horizontal="center" vertical="center" wrapText="1"/>
    </xf>
    <xf numFmtId="0" fontId="37" fillId="16" borderId="39" xfId="0" applyFont="1" applyFill="1" applyBorder="1" applyAlignment="1" applyProtection="1">
      <alignment horizontal="center" vertical="center" wrapText="1"/>
    </xf>
    <xf numFmtId="0" fontId="37" fillId="16" borderId="25" xfId="0" applyFont="1" applyFill="1" applyBorder="1" applyAlignment="1" applyProtection="1">
      <alignment horizontal="center" vertical="center" wrapText="1"/>
    </xf>
    <xf numFmtId="0" fontId="37" fillId="16" borderId="15" xfId="0" applyFont="1" applyFill="1" applyBorder="1" applyAlignment="1" applyProtection="1">
      <alignment horizontal="center" vertical="center" wrapText="1"/>
    </xf>
    <xf numFmtId="0" fontId="42" fillId="9" borderId="40" xfId="0" applyFont="1" applyFill="1" applyBorder="1" applyAlignment="1" applyProtection="1">
      <alignment horizontal="center" vertical="center" wrapText="1"/>
    </xf>
    <xf numFmtId="0" fontId="42" fillId="17" borderId="43" xfId="0" applyFont="1" applyFill="1" applyBorder="1" applyAlignment="1" applyProtection="1">
      <alignment horizontal="center" vertical="center" wrapText="1"/>
    </xf>
    <xf numFmtId="0" fontId="0" fillId="9" borderId="21" xfId="0" applyFill="1" applyBorder="1" applyProtection="1"/>
    <xf numFmtId="0" fontId="0" fillId="17" borderId="0" xfId="0" applyFill="1" applyBorder="1" applyProtection="1"/>
    <xf numFmtId="0" fontId="0" fillId="9" borderId="16" xfId="0" applyFill="1" applyBorder="1" applyProtection="1"/>
    <xf numFmtId="0" fontId="0" fillId="17" borderId="31" xfId="0" applyFill="1" applyBorder="1" applyProtection="1"/>
    <xf numFmtId="0" fontId="0" fillId="9" borderId="40" xfId="0" applyFill="1" applyBorder="1" applyProtection="1"/>
    <xf numFmtId="0" fontId="0" fillId="17" borderId="43" xfId="0" applyFill="1" applyBorder="1" applyProtection="1"/>
    <xf numFmtId="0" fontId="6" fillId="0" borderId="0" xfId="3" applyAlignment="1" applyProtection="1"/>
    <xf numFmtId="0" fontId="1" fillId="0" borderId="0" xfId="0" applyFont="1"/>
    <xf numFmtId="0" fontId="1" fillId="0" borderId="0" xfId="0" applyFont="1" applyProtection="1">
      <protection locked="0"/>
    </xf>
    <xf numFmtId="0" fontId="44" fillId="19" borderId="60" xfId="0" applyFont="1" applyFill="1" applyBorder="1" applyAlignment="1" applyProtection="1">
      <alignment horizontal="center" vertical="center" wrapText="1"/>
    </xf>
    <xf numFmtId="0" fontId="44" fillId="19" borderId="58" xfId="0" applyFont="1" applyFill="1" applyBorder="1" applyAlignment="1" applyProtection="1">
      <alignment horizontal="center" vertical="center" wrapText="1"/>
    </xf>
    <xf numFmtId="0" fontId="44" fillId="19" borderId="59" xfId="0" applyFont="1" applyFill="1" applyBorder="1" applyAlignment="1" applyProtection="1">
      <alignment horizontal="center" vertical="center" wrapText="1"/>
    </xf>
    <xf numFmtId="0" fontId="44" fillId="19" borderId="60" xfId="0" applyFont="1" applyFill="1" applyBorder="1" applyAlignment="1" applyProtection="1">
      <alignment horizontal="center" vertical="center" wrapText="1"/>
    </xf>
    <xf numFmtId="0" fontId="20" fillId="15" borderId="66" xfId="0" applyFont="1" applyFill="1" applyBorder="1" applyAlignment="1" applyProtection="1">
      <alignment horizontal="center" vertical="center"/>
    </xf>
    <xf numFmtId="0" fontId="20" fillId="15" borderId="57" xfId="0" applyFont="1" applyFill="1" applyBorder="1" applyAlignment="1" applyProtection="1">
      <alignment horizontal="center" vertical="center"/>
    </xf>
    <xf numFmtId="0" fontId="2" fillId="24" borderId="47" xfId="0" applyFont="1" applyFill="1" applyBorder="1" applyAlignment="1" applyProtection="1">
      <alignment horizontal="center" vertical="center"/>
    </xf>
    <xf numFmtId="0" fontId="2" fillId="24" borderId="43" xfId="0" applyFont="1" applyFill="1" applyBorder="1" applyAlignment="1" applyProtection="1">
      <alignment horizontal="center" vertical="center"/>
    </xf>
    <xf numFmtId="0" fontId="2" fillId="24" borderId="44" xfId="0" applyFont="1" applyFill="1" applyBorder="1" applyAlignment="1" applyProtection="1">
      <alignment horizontal="center" vertical="center"/>
    </xf>
    <xf numFmtId="0" fontId="2" fillId="20" borderId="30" xfId="0" applyFont="1" applyFill="1" applyBorder="1" applyAlignment="1" applyProtection="1">
      <alignment horizontal="center" vertical="center"/>
    </xf>
    <xf numFmtId="0" fontId="2" fillId="20" borderId="31" xfId="0" applyFont="1" applyFill="1" applyBorder="1" applyAlignment="1" applyProtection="1">
      <alignment horizontal="center" vertical="center"/>
    </xf>
    <xf numFmtId="0" fontId="2" fillId="20" borderId="28" xfId="0" applyFont="1" applyFill="1" applyBorder="1" applyAlignment="1" applyProtection="1">
      <alignment horizontal="center" vertical="center"/>
    </xf>
    <xf numFmtId="0" fontId="2" fillId="20" borderId="65" xfId="0" applyFont="1" applyFill="1" applyBorder="1" applyAlignment="1" applyProtection="1">
      <alignment horizontal="center" vertical="center"/>
    </xf>
    <xf numFmtId="0" fontId="2" fillId="20" borderId="33" xfId="0" applyFont="1" applyFill="1" applyBorder="1" applyAlignment="1" applyProtection="1">
      <alignment horizontal="center" vertical="center"/>
    </xf>
    <xf numFmtId="0" fontId="2" fillId="20" borderId="34" xfId="0" applyFont="1" applyFill="1" applyBorder="1" applyAlignment="1" applyProtection="1">
      <alignment horizontal="center" vertical="center"/>
    </xf>
    <xf numFmtId="0" fontId="2" fillId="21" borderId="30" xfId="0" applyFont="1" applyFill="1" applyBorder="1" applyAlignment="1" applyProtection="1">
      <alignment horizontal="center" vertical="center"/>
    </xf>
    <xf numFmtId="0" fontId="2" fillId="21" borderId="31" xfId="0" applyFont="1" applyFill="1" applyBorder="1" applyAlignment="1" applyProtection="1">
      <alignment horizontal="center" vertical="center"/>
    </xf>
    <xf numFmtId="0" fontId="2" fillId="21" borderId="28" xfId="0" applyFont="1" applyFill="1" applyBorder="1" applyAlignment="1" applyProtection="1">
      <alignment horizontal="center" vertical="center"/>
    </xf>
    <xf numFmtId="0" fontId="2" fillId="21" borderId="65" xfId="0" applyFont="1" applyFill="1" applyBorder="1" applyAlignment="1" applyProtection="1">
      <alignment horizontal="center" vertical="center"/>
    </xf>
    <xf numFmtId="0" fontId="2" fillId="21" borderId="33" xfId="0" applyFont="1" applyFill="1" applyBorder="1" applyAlignment="1" applyProtection="1">
      <alignment horizontal="center" vertical="center"/>
    </xf>
    <xf numFmtId="0" fontId="2" fillId="21" borderId="34" xfId="0" applyFont="1" applyFill="1" applyBorder="1" applyAlignment="1" applyProtection="1">
      <alignment horizontal="center" vertical="center"/>
    </xf>
    <xf numFmtId="0" fontId="2" fillId="5" borderId="30" xfId="0" applyFont="1" applyFill="1" applyBorder="1" applyAlignment="1" applyProtection="1">
      <alignment horizontal="center" vertical="center"/>
    </xf>
    <xf numFmtId="0" fontId="2" fillId="5" borderId="31" xfId="0" applyFont="1" applyFill="1" applyBorder="1" applyAlignment="1" applyProtection="1">
      <alignment horizontal="center" vertical="center"/>
    </xf>
    <xf numFmtId="0" fontId="2" fillId="5" borderId="28" xfId="0" applyFont="1" applyFill="1" applyBorder="1" applyAlignment="1" applyProtection="1">
      <alignment horizontal="center" vertical="center"/>
    </xf>
    <xf numFmtId="0" fontId="2" fillId="5" borderId="65" xfId="0" applyFont="1" applyFill="1" applyBorder="1" applyAlignment="1" applyProtection="1">
      <alignment horizontal="center" vertical="center"/>
    </xf>
    <xf numFmtId="0" fontId="2" fillId="5" borderId="33" xfId="0" applyFont="1" applyFill="1" applyBorder="1" applyAlignment="1" applyProtection="1">
      <alignment horizontal="center" vertical="center"/>
    </xf>
    <xf numFmtId="0" fontId="2" fillId="5" borderId="34" xfId="0" applyFont="1" applyFill="1" applyBorder="1" applyAlignment="1" applyProtection="1">
      <alignment horizontal="center" vertical="center"/>
    </xf>
    <xf numFmtId="0" fontId="29" fillId="8" borderId="15" xfId="0" applyFont="1" applyFill="1" applyBorder="1" applyAlignment="1" applyProtection="1">
      <alignment horizontal="center" vertical="center" wrapText="1"/>
    </xf>
    <xf numFmtId="0" fontId="29" fillId="8" borderId="25" xfId="0" applyFont="1" applyFill="1" applyBorder="1" applyAlignment="1" applyProtection="1">
      <alignment horizontal="center" vertical="center" wrapText="1"/>
    </xf>
    <xf numFmtId="0" fontId="29" fillId="8" borderId="16" xfId="0" applyFont="1" applyFill="1" applyBorder="1" applyAlignment="1" applyProtection="1">
      <alignment horizontal="center" vertical="center" wrapText="1"/>
    </xf>
    <xf numFmtId="0" fontId="29" fillId="8" borderId="21" xfId="0" applyFont="1" applyFill="1" applyBorder="1" applyAlignment="1" applyProtection="1">
      <alignment horizontal="center" vertical="center" wrapText="1"/>
    </xf>
    <xf numFmtId="0" fontId="29" fillId="8" borderId="12" xfId="0" applyFont="1" applyFill="1" applyBorder="1" applyAlignment="1" applyProtection="1">
      <alignment horizontal="center" vertical="center" wrapText="1"/>
    </xf>
    <xf numFmtId="0" fontId="29" fillId="8" borderId="55" xfId="0" applyFont="1" applyFill="1" applyBorder="1" applyAlignment="1" applyProtection="1">
      <alignment horizontal="center" vertical="center" wrapText="1"/>
    </xf>
    <xf numFmtId="0" fontId="30" fillId="14" borderId="8" xfId="0" applyFont="1" applyFill="1" applyBorder="1" applyAlignment="1" applyProtection="1">
      <alignment horizontal="center" vertical="center" wrapText="1"/>
    </xf>
    <xf numFmtId="0" fontId="30" fillId="14" borderId="20" xfId="0" applyFont="1" applyFill="1" applyBorder="1" applyAlignment="1" applyProtection="1">
      <alignment horizontal="center" vertical="center" wrapText="1"/>
    </xf>
    <xf numFmtId="0" fontId="29" fillId="14" borderId="16" xfId="0" applyFont="1" applyFill="1" applyBorder="1" applyAlignment="1" applyProtection="1">
      <alignment horizontal="center" vertical="center" wrapText="1"/>
    </xf>
    <xf numFmtId="0" fontId="29" fillId="14" borderId="21" xfId="0" applyFont="1" applyFill="1" applyBorder="1" applyAlignment="1" applyProtection="1">
      <alignment horizontal="center" vertical="center" wrapText="1"/>
    </xf>
    <xf numFmtId="0" fontId="29" fillId="15" borderId="16" xfId="0" applyFont="1" applyFill="1" applyBorder="1" applyAlignment="1" applyProtection="1">
      <alignment horizontal="center" vertical="center" wrapText="1"/>
    </xf>
    <xf numFmtId="0" fontId="29" fillId="15" borderId="21" xfId="0" applyFont="1" applyFill="1" applyBorder="1" applyAlignment="1" applyProtection="1">
      <alignment horizontal="center" vertical="center" wrapText="1"/>
    </xf>
    <xf numFmtId="0" fontId="1" fillId="15" borderId="35" xfId="0" applyFont="1" applyFill="1" applyBorder="1" applyAlignment="1" applyProtection="1">
      <alignment horizontal="center" vertical="center" wrapText="1"/>
    </xf>
    <xf numFmtId="0" fontId="1" fillId="15" borderId="36" xfId="0" applyFont="1" applyFill="1" applyBorder="1" applyAlignment="1" applyProtection="1">
      <alignment horizontal="center" vertical="center" wrapText="1"/>
    </xf>
    <xf numFmtId="0" fontId="1" fillId="15" borderId="37" xfId="0" applyFont="1" applyFill="1" applyBorder="1" applyAlignment="1" applyProtection="1">
      <alignment horizontal="center" vertical="center" wrapText="1"/>
    </xf>
    <xf numFmtId="0" fontId="31" fillId="7" borderId="47" xfId="0" applyFont="1" applyFill="1" applyBorder="1" applyAlignment="1" applyProtection="1">
      <alignment horizontal="center" vertical="center"/>
    </xf>
    <xf numFmtId="0" fontId="31" fillId="7" borderId="43" xfId="0" applyFont="1" applyFill="1" applyBorder="1" applyAlignment="1" applyProtection="1">
      <alignment horizontal="center" vertical="center"/>
    </xf>
    <xf numFmtId="0" fontId="31" fillId="7" borderId="44" xfId="0" applyFont="1" applyFill="1" applyBorder="1" applyAlignment="1" applyProtection="1">
      <alignment horizontal="center" vertical="center"/>
    </xf>
    <xf numFmtId="0" fontId="1" fillId="15" borderId="68" xfId="0" applyFont="1" applyFill="1" applyBorder="1" applyAlignment="1" applyProtection="1">
      <alignment horizontal="center" vertical="center" wrapText="1"/>
    </xf>
    <xf numFmtId="0" fontId="1" fillId="15" borderId="31" xfId="0" applyFont="1" applyFill="1" applyBorder="1" applyAlignment="1" applyProtection="1">
      <alignment horizontal="center" vertical="center" wrapText="1"/>
    </xf>
    <xf numFmtId="0" fontId="1" fillId="15" borderId="28" xfId="0" applyFont="1" applyFill="1" applyBorder="1" applyAlignment="1" applyProtection="1">
      <alignment horizontal="center" vertical="center" wrapText="1"/>
    </xf>
    <xf numFmtId="0" fontId="1" fillId="15" borderId="63" xfId="0" applyFont="1" applyFill="1" applyBorder="1" applyAlignment="1" applyProtection="1">
      <alignment horizontal="center" vertical="center" wrapText="1"/>
    </xf>
    <xf numFmtId="0" fontId="1" fillId="15" borderId="33" xfId="0" applyFont="1" applyFill="1" applyBorder="1" applyAlignment="1" applyProtection="1">
      <alignment horizontal="center" vertical="center" wrapText="1"/>
    </xf>
    <xf numFmtId="0" fontId="1" fillId="15" borderId="34" xfId="0" applyFont="1" applyFill="1" applyBorder="1" applyAlignment="1" applyProtection="1">
      <alignment horizontal="center" vertical="center" wrapText="1"/>
    </xf>
    <xf numFmtId="0" fontId="1" fillId="6" borderId="47" xfId="0" applyFont="1" applyFill="1" applyBorder="1" applyAlignment="1" applyProtection="1">
      <alignment horizontal="left" vertical="top" wrapText="1"/>
    </xf>
    <xf numFmtId="0" fontId="1" fillId="6" borderId="43" xfId="0" applyFont="1" applyFill="1" applyBorder="1" applyAlignment="1" applyProtection="1">
      <alignment horizontal="left" vertical="top" wrapText="1"/>
    </xf>
    <xf numFmtId="0" fontId="1" fillId="6" borderId="44" xfId="0" applyFont="1" applyFill="1" applyBorder="1" applyAlignment="1" applyProtection="1">
      <alignment horizontal="left" vertical="top" wrapText="1"/>
    </xf>
    <xf numFmtId="0" fontId="29" fillId="14" borderId="64" xfId="0" applyFont="1" applyFill="1" applyBorder="1" applyAlignment="1" applyProtection="1">
      <alignment horizontal="center" vertical="center" wrapText="1"/>
    </xf>
    <xf numFmtId="0" fontId="1" fillId="8" borderId="35" xfId="0" applyFont="1" applyFill="1" applyBorder="1" applyAlignment="1" applyProtection="1">
      <alignment horizontal="left" vertical="center" wrapText="1"/>
    </xf>
    <xf numFmtId="0" fontId="1" fillId="8" borderId="36" xfId="0" applyFont="1" applyFill="1" applyBorder="1" applyAlignment="1" applyProtection="1">
      <alignment horizontal="left" vertical="center" wrapText="1"/>
    </xf>
    <xf numFmtId="0" fontId="10" fillId="6" borderId="41" xfId="0" applyFont="1" applyFill="1" applyBorder="1" applyAlignment="1" applyProtection="1">
      <alignment horizontal="center" vertical="center" wrapText="1"/>
    </xf>
    <xf numFmtId="0" fontId="10" fillId="6" borderId="42" xfId="0" applyFont="1" applyFill="1" applyBorder="1" applyAlignment="1" applyProtection="1">
      <alignment horizontal="center" vertical="center" wrapText="1"/>
    </xf>
    <xf numFmtId="0" fontId="10" fillId="6" borderId="43" xfId="0" applyFont="1" applyFill="1" applyBorder="1" applyAlignment="1" applyProtection="1">
      <alignment horizontal="center" vertical="center" wrapText="1"/>
    </xf>
    <xf numFmtId="0" fontId="21" fillId="22" borderId="63" xfId="0" applyFont="1" applyFill="1" applyBorder="1" applyAlignment="1" applyProtection="1">
      <alignment horizontal="center"/>
    </xf>
    <xf numFmtId="0" fontId="21" fillId="22" borderId="33" xfId="0" applyFont="1" applyFill="1" applyBorder="1" applyAlignment="1" applyProtection="1">
      <alignment horizontal="center"/>
    </xf>
    <xf numFmtId="0" fontId="21" fillId="22" borderId="34" xfId="0" applyFont="1" applyFill="1" applyBorder="1" applyAlignment="1" applyProtection="1">
      <alignment horizontal="center"/>
    </xf>
    <xf numFmtId="0" fontId="21" fillId="22" borderId="65" xfId="0" applyFont="1" applyFill="1" applyBorder="1" applyAlignment="1" applyProtection="1">
      <alignment horizontal="center"/>
    </xf>
    <xf numFmtId="0" fontId="21" fillId="22" borderId="48" xfId="0" applyFont="1" applyFill="1" applyBorder="1" applyAlignment="1" applyProtection="1">
      <alignment horizontal="center"/>
    </xf>
    <xf numFmtId="0" fontId="29" fillId="17" borderId="16" xfId="0" applyFont="1" applyFill="1" applyBorder="1" applyAlignment="1" applyProtection="1">
      <alignment horizontal="center" vertical="center" wrapText="1"/>
    </xf>
    <xf numFmtId="0" fontId="29" fillId="17" borderId="21" xfId="0" applyFont="1" applyFill="1" applyBorder="1" applyAlignment="1" applyProtection="1">
      <alignment horizontal="center" vertical="center" wrapText="1"/>
    </xf>
    <xf numFmtId="0" fontId="2" fillId="22" borderId="47" xfId="0" applyFont="1" applyFill="1" applyBorder="1" applyAlignment="1" applyProtection="1">
      <alignment horizontal="center" vertical="center"/>
    </xf>
    <xf numFmtId="0" fontId="2" fillId="22" borderId="43" xfId="0" applyFont="1" applyFill="1" applyBorder="1" applyAlignment="1" applyProtection="1">
      <alignment horizontal="center" vertical="center"/>
    </xf>
    <xf numFmtId="0" fontId="2" fillId="22" borderId="44" xfId="0" applyFont="1" applyFill="1" applyBorder="1" applyAlignment="1" applyProtection="1">
      <alignment horizontal="center" vertical="center"/>
    </xf>
    <xf numFmtId="0" fontId="37" fillId="9" borderId="17" xfId="0" applyFont="1" applyFill="1" applyBorder="1" applyAlignment="1" applyProtection="1">
      <alignment horizontal="center" vertical="center" wrapText="1"/>
    </xf>
    <xf numFmtId="0" fontId="37" fillId="9" borderId="19" xfId="0" applyFont="1" applyFill="1" applyBorder="1" applyAlignment="1" applyProtection="1">
      <alignment horizontal="center" vertical="center" wrapText="1"/>
    </xf>
    <xf numFmtId="0" fontId="37" fillId="17" borderId="51" xfId="0" applyFont="1" applyFill="1" applyBorder="1" applyAlignment="1" applyProtection="1">
      <alignment horizontal="center" vertical="center" wrapText="1"/>
    </xf>
    <xf numFmtId="0" fontId="37" fillId="17" borderId="23" xfId="0" applyFont="1" applyFill="1" applyBorder="1" applyAlignment="1" applyProtection="1">
      <alignment horizontal="center" vertical="center" wrapText="1"/>
    </xf>
    <xf numFmtId="0" fontId="2" fillId="14" borderId="69" xfId="0" applyFont="1" applyFill="1" applyBorder="1" applyAlignment="1" applyProtection="1">
      <alignment horizontal="center" vertical="center" wrapText="1"/>
    </xf>
    <xf numFmtId="0" fontId="2" fillId="14" borderId="52" xfId="0" applyFont="1" applyFill="1" applyBorder="1" applyAlignment="1" applyProtection="1">
      <alignment horizontal="center" vertical="center" wrapText="1"/>
    </xf>
    <xf numFmtId="0" fontId="2" fillId="14" borderId="53" xfId="0" applyFont="1" applyFill="1" applyBorder="1" applyAlignment="1" applyProtection="1">
      <alignment horizontal="center" vertical="center" wrapText="1"/>
    </xf>
    <xf numFmtId="0" fontId="2" fillId="15" borderId="51" xfId="0" applyFont="1" applyFill="1" applyBorder="1" applyAlignment="1" applyProtection="1">
      <alignment horizontal="center" vertical="center" wrapText="1"/>
    </xf>
    <xf numFmtId="0" fontId="2" fillId="15" borderId="52" xfId="0" applyFont="1" applyFill="1" applyBorder="1" applyAlignment="1" applyProtection="1">
      <alignment horizontal="center" vertical="center" wrapText="1"/>
    </xf>
    <xf numFmtId="0" fontId="2" fillId="15" borderId="53" xfId="0" applyFont="1" applyFill="1" applyBorder="1" applyAlignment="1" applyProtection="1">
      <alignment horizontal="center" vertical="center" wrapText="1"/>
    </xf>
    <xf numFmtId="0" fontId="37" fillId="0" borderId="0" xfId="0" applyFont="1" applyAlignment="1">
      <alignment horizontal="center" wrapText="1"/>
    </xf>
    <xf numFmtId="0" fontId="37" fillId="0" borderId="0" xfId="0" applyFont="1" applyAlignment="1">
      <alignment horizontal="center" vertical="center" wrapText="1"/>
    </xf>
    <xf numFmtId="0" fontId="25" fillId="0" borderId="0" xfId="0" applyFont="1" applyFill="1" applyAlignment="1">
      <alignment horizontal="left" wrapText="1"/>
    </xf>
    <xf numFmtId="0" fontId="1" fillId="5" borderId="2"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55" fillId="0" borderId="0" xfId="0" applyFont="1"/>
    <xf numFmtId="0" fontId="10" fillId="8" borderId="7" xfId="0" applyFont="1" applyFill="1" applyBorder="1" applyAlignment="1" applyProtection="1">
      <alignment horizontal="center" vertical="center"/>
      <protection locked="0"/>
    </xf>
    <xf numFmtId="165" fontId="41" fillId="8" borderId="14" xfId="2" applyNumberFormat="1" applyFont="1" applyFill="1" applyBorder="1" applyAlignment="1" applyProtection="1">
      <alignment horizontal="left" vertical="center"/>
      <protection locked="0"/>
    </xf>
    <xf numFmtId="0" fontId="1" fillId="8" borderId="3" xfId="0" applyFont="1" applyFill="1" applyBorder="1" applyAlignment="1" applyProtection="1">
      <alignment horizontal="center" vertical="center"/>
      <protection locked="0"/>
    </xf>
    <xf numFmtId="165" fontId="41" fillId="8" borderId="48" xfId="2" applyNumberFormat="1" applyFont="1" applyFill="1" applyBorder="1" applyAlignment="1" applyProtection="1">
      <alignment horizontal="center" vertical="center"/>
      <protection locked="0"/>
    </xf>
    <xf numFmtId="5" fontId="23" fillId="14" borderId="3" xfId="2" applyNumberFormat="1" applyFont="1" applyFill="1" applyBorder="1" applyAlignment="1" applyProtection="1">
      <alignment horizontal="center" vertical="center"/>
      <protection locked="0"/>
    </xf>
    <xf numFmtId="7" fontId="22" fillId="14" borderId="26" xfId="2" applyNumberFormat="1" applyFont="1" applyFill="1" applyBorder="1" applyAlignment="1" applyProtection="1">
      <alignment horizontal="center" vertical="center"/>
      <protection locked="0"/>
    </xf>
    <xf numFmtId="164" fontId="22" fillId="14" borderId="26" xfId="2" applyNumberFormat="1" applyFont="1" applyFill="1" applyBorder="1" applyAlignment="1" applyProtection="1">
      <alignment horizontal="center" vertical="center"/>
      <protection locked="0"/>
    </xf>
    <xf numFmtId="9" fontId="22" fillId="15" borderId="3" xfId="4" applyNumberFormat="1" applyFont="1" applyFill="1" applyBorder="1" applyAlignment="1" applyProtection="1">
      <alignment horizontal="center" vertical="center"/>
      <protection locked="0"/>
    </xf>
    <xf numFmtId="171" fontId="1" fillId="15" borderId="3" xfId="2" applyNumberFormat="1" applyFont="1" applyFill="1" applyBorder="1" applyAlignment="1" applyProtection="1">
      <alignment horizontal="center" vertical="center"/>
      <protection locked="0"/>
    </xf>
    <xf numFmtId="171" fontId="1" fillId="15" borderId="26" xfId="2" applyNumberFormat="1" applyFont="1" applyFill="1" applyBorder="1" applyAlignment="1" applyProtection="1">
      <alignment horizontal="center" vertical="center"/>
      <protection locked="0"/>
    </xf>
    <xf numFmtId="9" fontId="22" fillId="17" borderId="26" xfId="4" applyFont="1" applyFill="1" applyBorder="1" applyAlignment="1" applyProtection="1">
      <alignment horizontal="center" vertical="center"/>
      <protection locked="0"/>
    </xf>
    <xf numFmtId="164" fontId="22" fillId="17" borderId="26" xfId="4" applyNumberFormat="1" applyFont="1" applyFill="1" applyBorder="1" applyAlignment="1" applyProtection="1">
      <alignment horizontal="center" vertical="center"/>
      <protection locked="0"/>
    </xf>
    <xf numFmtId="0" fontId="22" fillId="17" borderId="3" xfId="2" applyNumberFormat="1" applyFont="1" applyFill="1" applyBorder="1" applyAlignment="1" applyProtection="1">
      <alignment horizontal="center" vertical="center"/>
      <protection locked="0"/>
    </xf>
    <xf numFmtId="0" fontId="22" fillId="17" borderId="26" xfId="2" applyNumberFormat="1" applyFont="1" applyFill="1" applyBorder="1" applyAlignment="1" applyProtection="1">
      <alignment horizontal="center" vertical="center"/>
      <protection locked="0"/>
    </xf>
    <xf numFmtId="0" fontId="1" fillId="17" borderId="26" xfId="2" applyNumberFormat="1" applyFont="1" applyFill="1" applyBorder="1" applyAlignment="1" applyProtection="1">
      <alignment horizontal="center" vertical="center"/>
      <protection locked="0"/>
    </xf>
    <xf numFmtId="164" fontId="22" fillId="17" borderId="26" xfId="2" applyNumberFormat="1" applyFont="1" applyFill="1" applyBorder="1" applyAlignment="1" applyProtection="1">
      <alignment horizontal="center" vertical="center"/>
      <protection locked="0"/>
    </xf>
    <xf numFmtId="164" fontId="22" fillId="17" borderId="27" xfId="2" applyNumberFormat="1" applyFont="1" applyFill="1" applyBorder="1" applyAlignment="1" applyProtection="1">
      <alignment horizontal="center" vertical="center"/>
      <protection locked="0"/>
    </xf>
  </cellXfs>
  <cellStyles count="7">
    <cellStyle name="Comma" xfId="1" builtinId="3"/>
    <cellStyle name="Currency" xfId="2" builtinId="4"/>
    <cellStyle name="Hyperlink" xfId="3" builtinId="8"/>
    <cellStyle name="Normal" xfId="0" builtinId="0"/>
    <cellStyle name="Normal 2" xfId="5" xr:uid="{00000000-0005-0000-0000-000004000000}"/>
    <cellStyle name="Normal 3" xfId="6" xr:uid="{00000000-0005-0000-0000-000005000000}"/>
    <cellStyle name="Percent" xfId="4" builtinId="5"/>
  </cellStyles>
  <dxfs count="22">
    <dxf>
      <font>
        <strike val="0"/>
        <color theme="4" tint="-0.24994659260841701"/>
      </font>
    </dxf>
    <dxf>
      <font>
        <strike val="0"/>
        <color theme="4" tint="-0.24994659260841701"/>
      </font>
    </dxf>
    <dxf>
      <font>
        <color theme="4" tint="-0.24994659260841701"/>
      </font>
    </dxf>
    <dxf>
      <font>
        <strike val="0"/>
        <color theme="4" tint="-0.24994659260841701"/>
      </font>
    </dxf>
    <dxf>
      <font>
        <strike val="0"/>
        <color theme="4" tint="-0.24994659260841701"/>
      </font>
    </dxf>
    <dxf>
      <font>
        <strike val="0"/>
        <color theme="4" tint="-0.24994659260841701"/>
      </font>
    </dxf>
    <dxf>
      <font>
        <color theme="3"/>
      </font>
    </dxf>
    <dxf>
      <font>
        <color auto="1"/>
      </font>
    </dxf>
    <dxf>
      <font>
        <color theme="3"/>
      </font>
    </dxf>
    <dxf>
      <font>
        <color theme="5" tint="0.79998168889431442"/>
      </font>
    </dxf>
    <dxf>
      <font>
        <color theme="6" tint="0.79998168889431442"/>
      </font>
    </dxf>
    <dxf>
      <font>
        <strike val="0"/>
        <color theme="4" tint="-0.24994659260841701"/>
      </font>
    </dxf>
    <dxf>
      <font>
        <strike val="0"/>
        <color theme="4" tint="-0.24994659260841701"/>
      </font>
    </dxf>
    <dxf>
      <font>
        <strike val="0"/>
        <color theme="4" tint="-0.24994659260841701"/>
      </font>
    </dxf>
    <dxf>
      <font>
        <strike val="0"/>
        <color theme="4" tint="-0.24994659260841701"/>
      </font>
    </dxf>
    <dxf>
      <font>
        <strike val="0"/>
        <color theme="4" tint="-0.24994659260841701"/>
      </font>
    </dxf>
    <dxf>
      <numFmt numFmtId="170" formatCode="&quot;$&quot;#,##0"/>
    </dxf>
    <dxf>
      <numFmt numFmtId="170" formatCode="&quot;$&quot;#,##0"/>
    </dxf>
    <dxf>
      <numFmt numFmtId="13" formatCode="0%"/>
    </dxf>
    <dxf>
      <numFmt numFmtId="170" formatCode="&quot;$&quot;#,##0"/>
    </dxf>
    <dxf>
      <numFmt numFmtId="170" formatCode="&quot;$&quot;#,##0"/>
    </dxf>
    <dxf>
      <numFmt numFmtId="13" formatCode="0%"/>
    </dxf>
  </dxfs>
  <tableStyles count="0" defaultTableStyle="TableStyleMedium9" defaultPivotStyle="PivotStyleLight16"/>
  <colors>
    <mruColors>
      <color rgb="FFFEEC7C"/>
      <color rgb="FFFFF359"/>
      <color rgb="FFE55E5C"/>
      <color rgb="FFD45755"/>
      <color rgb="FF00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6.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'Cash Flow Tables'!$A$8</c:f>
          <c:strCache>
            <c:ptCount val="1"/>
            <c:pt idx="0">
              <c:v>Third Party</c:v>
            </c:pt>
          </c:strCache>
        </c:strRef>
      </c:tx>
      <c:layout>
        <c:manualLayout>
          <c:xMode val="edge"/>
          <c:yMode val="edge"/>
          <c:x val="2.8149717514124303E-2"/>
          <c:y val="2.8789919447732269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1740281391864642E-2"/>
          <c:y val="0.15905285204813718"/>
          <c:w val="0.43605938742635708"/>
          <c:h val="0.78608755619436654"/>
        </c:manualLayout>
      </c:layout>
      <c:pieChart>
        <c:varyColors val="1"/>
        <c:ser>
          <c:idx val="0"/>
          <c:order val="0"/>
          <c:dPt>
            <c:idx val="0"/>
            <c:bubble3D val="0"/>
            <c:spPr>
              <a:solidFill>
                <a:schemeClr val="tx2">
                  <a:lumMod val="50000"/>
                </a:schemeClr>
              </a:solidFill>
              <a:ln w="19050">
                <a:solidFill>
                  <a:schemeClr val="tx2">
                    <a:lumMod val="50000"/>
                  </a:schemeClr>
                </a:solidFill>
              </a:ln>
              <a:effectLst/>
            </c:spPr>
            <c:extLst>
              <c:ext xmlns:c16="http://schemas.microsoft.com/office/drawing/2014/chart" uri="{C3380CC4-5D6E-409C-BE32-E72D297353CC}">
                <c16:uniqueId val="{00000001-22DB-4CB8-8986-C633753154EF}"/>
              </c:ext>
            </c:extLst>
          </c:dPt>
          <c:dPt>
            <c:idx val="1"/>
            <c:bubble3D val="0"/>
            <c:spPr>
              <a:solidFill>
                <a:schemeClr val="accent1">
                  <a:lumMod val="75000"/>
                </a:schemeClr>
              </a:solidFill>
              <a:ln w="19050">
                <a:solidFill>
                  <a:schemeClr val="accent1">
                    <a:lumMod val="75000"/>
                  </a:schemeClr>
                </a:solidFill>
              </a:ln>
              <a:effectLst/>
            </c:spPr>
            <c:extLst>
              <c:ext xmlns:c16="http://schemas.microsoft.com/office/drawing/2014/chart" uri="{C3380CC4-5D6E-409C-BE32-E72D297353CC}">
                <c16:uniqueId val="{00000003-22DB-4CB8-8986-C633753154EF}"/>
              </c:ext>
            </c:extLst>
          </c:dPt>
          <c:dPt>
            <c:idx val="2"/>
            <c:bubble3D val="0"/>
            <c:spPr>
              <a:solidFill>
                <a:schemeClr val="tx2">
                  <a:lumMod val="60000"/>
                  <a:lumOff val="40000"/>
                </a:schemeClr>
              </a:solidFill>
              <a:ln w="19050">
                <a:solidFill>
                  <a:schemeClr val="tx2">
                    <a:lumMod val="60000"/>
                    <a:lumOff val="40000"/>
                  </a:schemeClr>
                </a:solidFill>
              </a:ln>
              <a:effectLst/>
            </c:spPr>
            <c:extLst>
              <c:ext xmlns:c16="http://schemas.microsoft.com/office/drawing/2014/chart" uri="{C3380CC4-5D6E-409C-BE32-E72D297353CC}">
                <c16:uniqueId val="{00000005-22DB-4CB8-8986-C633753154EF}"/>
              </c:ext>
            </c:extLst>
          </c:dPt>
          <c:dPt>
            <c:idx val="3"/>
            <c:bubble3D val="0"/>
            <c:spPr>
              <a:solidFill>
                <a:schemeClr val="accent3">
                  <a:lumMod val="50000"/>
                </a:schemeClr>
              </a:solidFill>
              <a:ln w="19050">
                <a:solidFill>
                  <a:schemeClr val="accent3">
                    <a:lumMod val="50000"/>
                  </a:schemeClr>
                </a:solidFill>
              </a:ln>
              <a:effectLst/>
            </c:spPr>
            <c:extLst>
              <c:ext xmlns:c16="http://schemas.microsoft.com/office/drawing/2014/chart" uri="{C3380CC4-5D6E-409C-BE32-E72D297353CC}">
                <c16:uniqueId val="{00000007-22DB-4CB8-8986-C633753154EF}"/>
              </c:ext>
            </c:extLst>
          </c:dPt>
          <c:dPt>
            <c:idx val="4"/>
            <c:bubble3D val="0"/>
            <c:spPr>
              <a:solidFill>
                <a:schemeClr val="accent3">
                  <a:lumMod val="75000"/>
                </a:schemeClr>
              </a:solidFill>
              <a:ln w="19050">
                <a:solidFill>
                  <a:schemeClr val="accent3">
                    <a:lumMod val="75000"/>
                  </a:schemeClr>
                </a:solidFill>
              </a:ln>
              <a:effectLst/>
            </c:spPr>
            <c:extLst>
              <c:ext xmlns:c16="http://schemas.microsoft.com/office/drawing/2014/chart" uri="{C3380CC4-5D6E-409C-BE32-E72D297353CC}">
                <c16:uniqueId val="{00000009-22DB-4CB8-8986-C633753154EF}"/>
              </c:ext>
            </c:extLst>
          </c:dPt>
          <c:dPt>
            <c:idx val="5"/>
            <c:bubble3D val="0"/>
            <c:spPr>
              <a:solidFill>
                <a:schemeClr val="accent3">
                  <a:lumMod val="60000"/>
                  <a:lumOff val="40000"/>
                </a:schemeClr>
              </a:solidFill>
              <a:ln w="19050">
                <a:solidFill>
                  <a:schemeClr val="accent3">
                    <a:lumMod val="60000"/>
                    <a:lumOff val="40000"/>
                  </a:schemeClr>
                </a:solidFill>
              </a:ln>
              <a:effectLst/>
            </c:spPr>
            <c:extLst>
              <c:ext xmlns:c16="http://schemas.microsoft.com/office/drawing/2014/chart" uri="{C3380CC4-5D6E-409C-BE32-E72D297353CC}">
                <c16:uniqueId val="{0000000B-22DB-4CB8-8986-C633753154EF}"/>
              </c:ext>
            </c:extLst>
          </c:dPt>
          <c:dPt>
            <c:idx val="6"/>
            <c:bubble3D val="0"/>
            <c:spPr>
              <a:solidFill>
                <a:schemeClr val="accent3">
                  <a:lumMod val="40000"/>
                  <a:lumOff val="60000"/>
                </a:schemeClr>
              </a:solidFill>
              <a:ln w="19050">
                <a:solidFill>
                  <a:schemeClr val="accent3">
                    <a:lumMod val="40000"/>
                    <a:lumOff val="60000"/>
                  </a:schemeClr>
                </a:solidFill>
              </a:ln>
              <a:effectLst/>
            </c:spPr>
            <c:extLst>
              <c:ext xmlns:c16="http://schemas.microsoft.com/office/drawing/2014/chart" uri="{C3380CC4-5D6E-409C-BE32-E72D297353CC}">
                <c16:uniqueId val="{0000000D-22DB-4CB8-8986-C633753154EF}"/>
              </c:ext>
            </c:extLst>
          </c:dPt>
          <c:dPt>
            <c:idx val="7"/>
            <c:bubble3D val="0"/>
            <c:spPr>
              <a:solidFill>
                <a:schemeClr val="accent3">
                  <a:lumMod val="20000"/>
                  <a:lumOff val="80000"/>
                </a:schemeClr>
              </a:solidFill>
              <a:ln w="19050">
                <a:solidFill>
                  <a:schemeClr val="accent3">
                    <a:lumMod val="20000"/>
                    <a:lumOff val="80000"/>
                  </a:schemeClr>
                </a:solidFill>
              </a:ln>
              <a:effectLst/>
            </c:spPr>
            <c:extLst>
              <c:ext xmlns:c16="http://schemas.microsoft.com/office/drawing/2014/chart" uri="{C3380CC4-5D6E-409C-BE32-E72D297353CC}">
                <c16:uniqueId val="{0000000F-22DB-4CB8-8986-C633753154EF}"/>
              </c:ext>
            </c:extLst>
          </c:dPt>
          <c:cat>
            <c:strRef>
              <c:extLst>
                <c:ext xmlns:c15="http://schemas.microsoft.com/office/drawing/2012/chart" uri="{02D57815-91ED-43cb-92C2-25804820EDAC}">
                  <c15:fullRef>
                    <c15:sqref>'Cash Flow Tables'!$A$10:$A$18</c15:sqref>
                  </c15:fullRef>
                </c:ext>
              </c:extLst>
              <c:f>('Cash Flow Tables'!$A$10:$A$12,'Cash Flow Tables'!$A$14:$A$18)</c:f>
              <c:strCache>
                <c:ptCount val="8"/>
                <c:pt idx="0">
                  <c:v>Original Owner - Outside</c:v>
                </c:pt>
                <c:pt idx="1">
                  <c:v>Offtakers Outside Economy</c:v>
                </c:pt>
                <c:pt idx="2">
                  <c:v>Lender Outside Economy</c:v>
                </c:pt>
                <c:pt idx="3">
                  <c:v>Original Owner - Local</c:v>
                </c:pt>
                <c:pt idx="4">
                  <c:v>Local Owner after Flip</c:v>
                </c:pt>
                <c:pt idx="5">
                  <c:v>Offtakers Local Economy</c:v>
                </c:pt>
                <c:pt idx="6">
                  <c:v>Lender Local Economy</c:v>
                </c:pt>
                <c:pt idx="7">
                  <c:v>Community PILOT / Lease</c:v>
                </c:pt>
              </c:strCache>
            </c:strRef>
          </c:cat>
          <c:val>
            <c:numRef>
              <c:extLst>
                <c:ext xmlns:c15="http://schemas.microsoft.com/office/drawing/2012/chart" uri="{02D57815-91ED-43cb-92C2-25804820EDAC}">
                  <c15:fullRef>
                    <c15:sqref>'Cash Flow Tables'!$C$10:$C$18</c15:sqref>
                  </c15:fullRef>
                </c:ext>
              </c:extLst>
              <c:f>('Cash Flow Tables'!$C$10:$C$12,'Cash Flow Tables'!$C$14:$C$18)</c:f>
              <c:numCache>
                <c:formatCode>_("$"* #,##0_);_("$"* \(#,##0\);_("$"* "-"??_);_(@_)</c:formatCode>
                <c:ptCount val="8"/>
                <c:pt idx="0">
                  <c:v>417956.98282468319</c:v>
                </c:pt>
                <c:pt idx="1">
                  <c:v>205456.07124983205</c:v>
                </c:pt>
                <c:pt idx="2">
                  <c:v>365534.70124622306</c:v>
                </c:pt>
                <c:pt idx="3">
                  <c:v>0</c:v>
                </c:pt>
                <c:pt idx="4">
                  <c:v>0</c:v>
                </c:pt>
                <c:pt idx="5">
                  <c:v>51364.017812458012</c:v>
                </c:pt>
                <c:pt idx="6">
                  <c:v>0</c:v>
                </c:pt>
                <c:pt idx="7">
                  <c:v>319583.90395671001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0-22DB-4CB8-8986-C633753154E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0210045465628272"/>
          <c:y val="0.24325868840862977"/>
          <c:w val="0.46694777906860002"/>
          <c:h val="0.70841756482567342"/>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'Cash Flow Tables'!$A$29</c:f>
          <c:strCache>
            <c:ptCount val="1"/>
            <c:pt idx="0">
              <c:v>Third Party Flip</c:v>
            </c:pt>
          </c:strCache>
        </c:strRef>
      </c:tx>
      <c:layout>
        <c:manualLayout>
          <c:xMode val="edge"/>
          <c:yMode val="edge"/>
          <c:x val="2.8149717514124303E-2"/>
          <c:y val="2.8789919447732269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1740281391864642E-2"/>
          <c:y val="0.15905285204813718"/>
          <c:w val="0.43605938742635708"/>
          <c:h val="0.78608755619436654"/>
        </c:manualLayout>
      </c:layout>
      <c:pieChart>
        <c:varyColors val="1"/>
        <c:ser>
          <c:idx val="0"/>
          <c:order val="0"/>
          <c:dPt>
            <c:idx val="0"/>
            <c:bubble3D val="0"/>
            <c:spPr>
              <a:solidFill>
                <a:schemeClr val="tx2">
                  <a:lumMod val="50000"/>
                </a:schemeClr>
              </a:solidFill>
              <a:ln w="19050">
                <a:solidFill>
                  <a:schemeClr val="tx2">
                    <a:lumMod val="50000"/>
                  </a:schemeClr>
                </a:solidFill>
              </a:ln>
              <a:effectLst/>
            </c:spPr>
            <c:extLst>
              <c:ext xmlns:c16="http://schemas.microsoft.com/office/drawing/2014/chart" uri="{C3380CC4-5D6E-409C-BE32-E72D297353CC}">
                <c16:uniqueId val="{00000001-7464-4D85-AFBD-BF19D60E2C8F}"/>
              </c:ext>
            </c:extLst>
          </c:dPt>
          <c:dPt>
            <c:idx val="1"/>
            <c:bubble3D val="0"/>
            <c:spPr>
              <a:solidFill>
                <a:schemeClr val="accent1">
                  <a:lumMod val="75000"/>
                </a:schemeClr>
              </a:solidFill>
              <a:ln w="19050">
                <a:solidFill>
                  <a:schemeClr val="accent1">
                    <a:lumMod val="75000"/>
                  </a:schemeClr>
                </a:solidFill>
              </a:ln>
              <a:effectLst/>
            </c:spPr>
            <c:extLst>
              <c:ext xmlns:c16="http://schemas.microsoft.com/office/drawing/2014/chart" uri="{C3380CC4-5D6E-409C-BE32-E72D297353CC}">
                <c16:uniqueId val="{00000003-7464-4D85-AFBD-BF19D60E2C8F}"/>
              </c:ext>
            </c:extLst>
          </c:dPt>
          <c:dPt>
            <c:idx val="2"/>
            <c:bubble3D val="0"/>
            <c:spPr>
              <a:solidFill>
                <a:schemeClr val="tx2">
                  <a:lumMod val="60000"/>
                  <a:lumOff val="40000"/>
                </a:schemeClr>
              </a:solidFill>
              <a:ln w="19050">
                <a:solidFill>
                  <a:schemeClr val="tx2">
                    <a:lumMod val="60000"/>
                    <a:lumOff val="40000"/>
                  </a:schemeClr>
                </a:solidFill>
              </a:ln>
              <a:effectLst/>
            </c:spPr>
            <c:extLst>
              <c:ext xmlns:c16="http://schemas.microsoft.com/office/drawing/2014/chart" uri="{C3380CC4-5D6E-409C-BE32-E72D297353CC}">
                <c16:uniqueId val="{00000005-7464-4D85-AFBD-BF19D60E2C8F}"/>
              </c:ext>
            </c:extLst>
          </c:dPt>
          <c:dPt>
            <c:idx val="3"/>
            <c:bubble3D val="0"/>
            <c:spPr>
              <a:solidFill>
                <a:schemeClr val="accent3">
                  <a:lumMod val="50000"/>
                </a:schemeClr>
              </a:solidFill>
              <a:ln w="19050">
                <a:solidFill>
                  <a:schemeClr val="accent3">
                    <a:lumMod val="50000"/>
                  </a:schemeClr>
                </a:solidFill>
              </a:ln>
              <a:effectLst/>
            </c:spPr>
            <c:extLst>
              <c:ext xmlns:c16="http://schemas.microsoft.com/office/drawing/2014/chart" uri="{C3380CC4-5D6E-409C-BE32-E72D297353CC}">
                <c16:uniqueId val="{00000007-7464-4D85-AFBD-BF19D60E2C8F}"/>
              </c:ext>
            </c:extLst>
          </c:dPt>
          <c:dPt>
            <c:idx val="4"/>
            <c:bubble3D val="0"/>
            <c:spPr>
              <a:solidFill>
                <a:schemeClr val="accent3">
                  <a:lumMod val="75000"/>
                </a:schemeClr>
              </a:solidFill>
              <a:ln w="19050">
                <a:solidFill>
                  <a:schemeClr val="accent3">
                    <a:lumMod val="75000"/>
                  </a:schemeClr>
                </a:solidFill>
              </a:ln>
              <a:effectLst/>
            </c:spPr>
            <c:extLst>
              <c:ext xmlns:c16="http://schemas.microsoft.com/office/drawing/2014/chart" uri="{C3380CC4-5D6E-409C-BE32-E72D297353CC}">
                <c16:uniqueId val="{00000009-7464-4D85-AFBD-BF19D60E2C8F}"/>
              </c:ext>
            </c:extLst>
          </c:dPt>
          <c:dPt>
            <c:idx val="5"/>
            <c:bubble3D val="0"/>
            <c:spPr>
              <a:solidFill>
                <a:schemeClr val="accent3">
                  <a:lumMod val="60000"/>
                  <a:lumOff val="40000"/>
                </a:schemeClr>
              </a:solidFill>
              <a:ln w="19050">
                <a:solidFill>
                  <a:schemeClr val="accent3">
                    <a:lumMod val="60000"/>
                    <a:lumOff val="40000"/>
                  </a:schemeClr>
                </a:solidFill>
              </a:ln>
              <a:effectLst/>
            </c:spPr>
            <c:extLst>
              <c:ext xmlns:c16="http://schemas.microsoft.com/office/drawing/2014/chart" uri="{C3380CC4-5D6E-409C-BE32-E72D297353CC}">
                <c16:uniqueId val="{0000000B-7464-4D85-AFBD-BF19D60E2C8F}"/>
              </c:ext>
            </c:extLst>
          </c:dPt>
          <c:dPt>
            <c:idx val="6"/>
            <c:bubble3D val="0"/>
            <c:spPr>
              <a:solidFill>
                <a:schemeClr val="accent3">
                  <a:lumMod val="40000"/>
                  <a:lumOff val="60000"/>
                </a:schemeClr>
              </a:solidFill>
              <a:ln w="19050">
                <a:solidFill>
                  <a:schemeClr val="accent3">
                    <a:lumMod val="40000"/>
                    <a:lumOff val="60000"/>
                  </a:schemeClr>
                </a:solidFill>
              </a:ln>
              <a:effectLst/>
            </c:spPr>
            <c:extLst>
              <c:ext xmlns:c16="http://schemas.microsoft.com/office/drawing/2014/chart" uri="{C3380CC4-5D6E-409C-BE32-E72D297353CC}">
                <c16:uniqueId val="{0000000D-7464-4D85-AFBD-BF19D60E2C8F}"/>
              </c:ext>
            </c:extLst>
          </c:dPt>
          <c:dPt>
            <c:idx val="7"/>
            <c:bubble3D val="0"/>
            <c:spPr>
              <a:solidFill>
                <a:schemeClr val="accent3">
                  <a:lumMod val="20000"/>
                  <a:lumOff val="80000"/>
                </a:schemeClr>
              </a:solidFill>
              <a:ln w="19050">
                <a:solidFill>
                  <a:schemeClr val="accent3">
                    <a:lumMod val="20000"/>
                    <a:lumOff val="80000"/>
                  </a:schemeClr>
                </a:solidFill>
              </a:ln>
              <a:effectLst/>
            </c:spPr>
            <c:extLst>
              <c:ext xmlns:c16="http://schemas.microsoft.com/office/drawing/2014/chart" uri="{C3380CC4-5D6E-409C-BE32-E72D297353CC}">
                <c16:uniqueId val="{0000000F-7464-4D85-AFBD-BF19D60E2C8F}"/>
              </c:ext>
            </c:extLst>
          </c:dPt>
          <c:cat>
            <c:strRef>
              <c:extLst>
                <c:ext xmlns:c15="http://schemas.microsoft.com/office/drawing/2012/chart" uri="{02D57815-91ED-43cb-92C2-25804820EDAC}">
                  <c15:fullRef>
                    <c15:sqref>'Cash Flow Tables'!$A$31:$A$39</c15:sqref>
                  </c15:fullRef>
                </c:ext>
              </c:extLst>
              <c:f>('Cash Flow Tables'!$A$31:$A$33,'Cash Flow Tables'!$A$35:$A$39)</c:f>
              <c:strCache>
                <c:ptCount val="8"/>
                <c:pt idx="0">
                  <c:v>Original Owner - Outside</c:v>
                </c:pt>
                <c:pt idx="1">
                  <c:v>Offtakers Outside Economy</c:v>
                </c:pt>
                <c:pt idx="2">
                  <c:v>Lender Outside Economy</c:v>
                </c:pt>
                <c:pt idx="3">
                  <c:v>Original Owner - Local</c:v>
                </c:pt>
                <c:pt idx="4">
                  <c:v>Local Owner after Flip</c:v>
                </c:pt>
                <c:pt idx="5">
                  <c:v>Offtakers Local Economy</c:v>
                </c:pt>
                <c:pt idx="6">
                  <c:v>Lender Local Economy</c:v>
                </c:pt>
                <c:pt idx="7">
                  <c:v>Community PILOT / Lease</c:v>
                </c:pt>
              </c:strCache>
            </c:strRef>
          </c:cat>
          <c:val>
            <c:numRef>
              <c:extLst>
                <c:ext xmlns:c15="http://schemas.microsoft.com/office/drawing/2012/chart" uri="{02D57815-91ED-43cb-92C2-25804820EDAC}">
                  <c15:fullRef>
                    <c15:sqref>'Cash Flow Tables'!$C$31:$C$39</c15:sqref>
                  </c15:fullRef>
                </c:ext>
              </c:extLst>
              <c:f>('Cash Flow Tables'!$C$31:$C$33,'Cash Flow Tables'!$C$35:$C$39)</c:f>
              <c:numCache>
                <c:formatCode>_("$"* #,##0_);_("$"* \(#,##0\);_("$"* "-"??_);_(@_)</c:formatCode>
                <c:ptCount val="8"/>
                <c:pt idx="0">
                  <c:v>39745.501193566364</c:v>
                </c:pt>
                <c:pt idx="1">
                  <c:v>102728.03562491602</c:v>
                </c:pt>
                <c:pt idx="2">
                  <c:v>265048.26184258598</c:v>
                </c:pt>
                <c:pt idx="3">
                  <c:v>0</c:v>
                </c:pt>
                <c:pt idx="4">
                  <c:v>364418.73083531234</c:v>
                </c:pt>
                <c:pt idx="5">
                  <c:v>154092.05343737407</c:v>
                </c:pt>
                <c:pt idx="6">
                  <c:v>50000.528730854923</c:v>
                </c:pt>
                <c:pt idx="7">
                  <c:v>319583.90395671001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0-7464-4D85-AFBD-BF19D60E2C8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203153909040058"/>
          <c:y val="0.23143835743936264"/>
          <c:w val="0.46694777906860002"/>
          <c:h val="0.74387855773347478"/>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'Cash Flow Tables'!$A$50</c:f>
          <c:strCache>
            <c:ptCount val="1"/>
            <c:pt idx="0">
              <c:v>Community Owned (taxable)</c:v>
            </c:pt>
          </c:strCache>
        </c:strRef>
      </c:tx>
      <c:layout>
        <c:manualLayout>
          <c:xMode val="edge"/>
          <c:yMode val="edge"/>
          <c:x val="2.8149717514124303E-2"/>
          <c:y val="2.878991944773226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1740281391864642E-2"/>
          <c:y val="0.15905285204813718"/>
          <c:w val="0.43605938742635708"/>
          <c:h val="0.78608755619436654"/>
        </c:manualLayout>
      </c:layout>
      <c:pieChart>
        <c:varyColors val="1"/>
        <c:ser>
          <c:idx val="0"/>
          <c:order val="0"/>
          <c:dPt>
            <c:idx val="0"/>
            <c:bubble3D val="0"/>
            <c:spPr>
              <a:solidFill>
                <a:schemeClr val="tx2">
                  <a:lumMod val="50000"/>
                </a:schemeClr>
              </a:solidFill>
              <a:ln w="19050">
                <a:solidFill>
                  <a:schemeClr val="tx2">
                    <a:lumMod val="50000"/>
                  </a:schemeClr>
                </a:solidFill>
              </a:ln>
              <a:effectLst/>
            </c:spPr>
            <c:extLst>
              <c:ext xmlns:c16="http://schemas.microsoft.com/office/drawing/2014/chart" uri="{C3380CC4-5D6E-409C-BE32-E72D297353CC}">
                <c16:uniqueId val="{00000001-F176-4400-9789-AD37355B46B4}"/>
              </c:ext>
            </c:extLst>
          </c:dPt>
          <c:dPt>
            <c:idx val="1"/>
            <c:bubble3D val="0"/>
            <c:spPr>
              <a:solidFill>
                <a:schemeClr val="accent1">
                  <a:lumMod val="75000"/>
                </a:schemeClr>
              </a:solidFill>
              <a:ln w="19050">
                <a:solidFill>
                  <a:schemeClr val="accent1">
                    <a:lumMod val="75000"/>
                  </a:schemeClr>
                </a:solidFill>
              </a:ln>
              <a:effectLst/>
            </c:spPr>
            <c:extLst>
              <c:ext xmlns:c16="http://schemas.microsoft.com/office/drawing/2014/chart" uri="{C3380CC4-5D6E-409C-BE32-E72D297353CC}">
                <c16:uniqueId val="{00000003-F176-4400-9789-AD37355B46B4}"/>
              </c:ext>
            </c:extLst>
          </c:dPt>
          <c:dPt>
            <c:idx val="2"/>
            <c:bubble3D val="0"/>
            <c:spPr>
              <a:solidFill>
                <a:schemeClr val="tx2">
                  <a:lumMod val="60000"/>
                  <a:lumOff val="40000"/>
                </a:schemeClr>
              </a:solidFill>
              <a:ln w="19050">
                <a:solidFill>
                  <a:schemeClr val="tx2">
                    <a:lumMod val="60000"/>
                    <a:lumOff val="40000"/>
                  </a:schemeClr>
                </a:solidFill>
              </a:ln>
              <a:effectLst/>
            </c:spPr>
            <c:extLst>
              <c:ext xmlns:c16="http://schemas.microsoft.com/office/drawing/2014/chart" uri="{C3380CC4-5D6E-409C-BE32-E72D297353CC}">
                <c16:uniqueId val="{00000005-F176-4400-9789-AD37355B46B4}"/>
              </c:ext>
            </c:extLst>
          </c:dPt>
          <c:dPt>
            <c:idx val="3"/>
            <c:bubble3D val="0"/>
            <c:spPr>
              <a:solidFill>
                <a:schemeClr val="accent3">
                  <a:lumMod val="50000"/>
                </a:schemeClr>
              </a:solidFill>
              <a:ln w="19050">
                <a:solidFill>
                  <a:schemeClr val="accent3">
                    <a:lumMod val="50000"/>
                  </a:schemeClr>
                </a:solidFill>
              </a:ln>
              <a:effectLst/>
            </c:spPr>
            <c:extLst>
              <c:ext xmlns:c16="http://schemas.microsoft.com/office/drawing/2014/chart" uri="{C3380CC4-5D6E-409C-BE32-E72D297353CC}">
                <c16:uniqueId val="{00000007-F176-4400-9789-AD37355B46B4}"/>
              </c:ext>
            </c:extLst>
          </c:dPt>
          <c:dPt>
            <c:idx val="4"/>
            <c:bubble3D val="0"/>
            <c:spPr>
              <a:solidFill>
                <a:schemeClr val="accent3">
                  <a:lumMod val="75000"/>
                </a:schemeClr>
              </a:solidFill>
              <a:ln w="19050">
                <a:solidFill>
                  <a:schemeClr val="accent3">
                    <a:lumMod val="75000"/>
                  </a:schemeClr>
                </a:solidFill>
              </a:ln>
              <a:effectLst/>
            </c:spPr>
            <c:extLst>
              <c:ext xmlns:c16="http://schemas.microsoft.com/office/drawing/2014/chart" uri="{C3380CC4-5D6E-409C-BE32-E72D297353CC}">
                <c16:uniqueId val="{00000009-F176-4400-9789-AD37355B46B4}"/>
              </c:ext>
            </c:extLst>
          </c:dPt>
          <c:dPt>
            <c:idx val="5"/>
            <c:bubble3D val="0"/>
            <c:spPr>
              <a:solidFill>
                <a:schemeClr val="accent3">
                  <a:lumMod val="60000"/>
                  <a:lumOff val="40000"/>
                </a:schemeClr>
              </a:solidFill>
              <a:ln w="19050">
                <a:solidFill>
                  <a:schemeClr val="accent3">
                    <a:lumMod val="60000"/>
                    <a:lumOff val="40000"/>
                  </a:schemeClr>
                </a:solidFill>
              </a:ln>
              <a:effectLst/>
            </c:spPr>
            <c:extLst>
              <c:ext xmlns:c16="http://schemas.microsoft.com/office/drawing/2014/chart" uri="{C3380CC4-5D6E-409C-BE32-E72D297353CC}">
                <c16:uniqueId val="{0000000B-F176-4400-9789-AD37355B46B4}"/>
              </c:ext>
            </c:extLst>
          </c:dPt>
          <c:dPt>
            <c:idx val="6"/>
            <c:bubble3D val="0"/>
            <c:spPr>
              <a:solidFill>
                <a:schemeClr val="accent3">
                  <a:lumMod val="40000"/>
                  <a:lumOff val="60000"/>
                </a:schemeClr>
              </a:solidFill>
              <a:ln w="19050">
                <a:solidFill>
                  <a:schemeClr val="accent3">
                    <a:lumMod val="40000"/>
                    <a:lumOff val="60000"/>
                  </a:schemeClr>
                </a:solidFill>
              </a:ln>
              <a:effectLst/>
            </c:spPr>
            <c:extLst>
              <c:ext xmlns:c16="http://schemas.microsoft.com/office/drawing/2014/chart" uri="{C3380CC4-5D6E-409C-BE32-E72D297353CC}">
                <c16:uniqueId val="{0000000D-F176-4400-9789-AD37355B46B4}"/>
              </c:ext>
            </c:extLst>
          </c:dPt>
          <c:dPt>
            <c:idx val="7"/>
            <c:bubble3D val="0"/>
            <c:spPr>
              <a:solidFill>
                <a:schemeClr val="accent3">
                  <a:lumMod val="20000"/>
                  <a:lumOff val="80000"/>
                </a:schemeClr>
              </a:solidFill>
              <a:ln w="19050">
                <a:solidFill>
                  <a:schemeClr val="accent3">
                    <a:lumMod val="20000"/>
                    <a:lumOff val="80000"/>
                  </a:schemeClr>
                </a:solidFill>
              </a:ln>
              <a:effectLst/>
            </c:spPr>
            <c:extLst>
              <c:ext xmlns:c16="http://schemas.microsoft.com/office/drawing/2014/chart" uri="{C3380CC4-5D6E-409C-BE32-E72D297353CC}">
                <c16:uniqueId val="{0000000F-F176-4400-9789-AD37355B46B4}"/>
              </c:ext>
            </c:extLst>
          </c:dPt>
          <c:cat>
            <c:strRef>
              <c:extLst>
                <c:ext xmlns:c15="http://schemas.microsoft.com/office/drawing/2012/chart" uri="{02D57815-91ED-43cb-92C2-25804820EDAC}">
                  <c15:fullRef>
                    <c15:sqref>'Cash Flow Tables'!$A$52:$A$60</c15:sqref>
                  </c15:fullRef>
                </c:ext>
              </c:extLst>
              <c:f>('Cash Flow Tables'!$A$52:$A$54,'Cash Flow Tables'!$A$56:$A$60)</c:f>
              <c:strCache>
                <c:ptCount val="8"/>
                <c:pt idx="0">
                  <c:v>Original Owner - Outside</c:v>
                </c:pt>
                <c:pt idx="1">
                  <c:v>Offtakers Outside Economy</c:v>
                </c:pt>
                <c:pt idx="2">
                  <c:v>Lender Outside Economy</c:v>
                </c:pt>
                <c:pt idx="3">
                  <c:v>Original Owner - Local</c:v>
                </c:pt>
                <c:pt idx="4">
                  <c:v>Local Owner after Flip</c:v>
                </c:pt>
                <c:pt idx="5">
                  <c:v>Offtakers Local Economy</c:v>
                </c:pt>
                <c:pt idx="6">
                  <c:v>Lender Local Economy</c:v>
                </c:pt>
                <c:pt idx="7">
                  <c:v>Community PILOT / Lease</c:v>
                </c:pt>
              </c:strCache>
            </c:strRef>
          </c:cat>
          <c:val>
            <c:numRef>
              <c:extLst>
                <c:ext xmlns:c15="http://schemas.microsoft.com/office/drawing/2012/chart" uri="{02D57815-91ED-43cb-92C2-25804820EDAC}">
                  <c15:fullRef>
                    <c15:sqref>'Cash Flow Tables'!$C$52:$C$60</c15:sqref>
                  </c15:fullRef>
                </c:ext>
              </c:extLst>
              <c:f>('Cash Flow Tables'!$C$52:$C$54,'Cash Flow Tables'!$C$56:$C$60)</c:f>
              <c:numCache>
                <c:formatCode>_("$"* #,##0_);_("$"* \(#,##0\);_("$"* "-"??_);_(@_)</c:formatCode>
                <c:ptCount val="8"/>
                <c:pt idx="0">
                  <c:v>0</c:v>
                </c:pt>
                <c:pt idx="1">
                  <c:v>0</c:v>
                </c:pt>
                <c:pt idx="2">
                  <c:v>0</c:v>
                </c:pt>
                <c:pt idx="3">
                  <c:v>277335.87056641711</c:v>
                </c:pt>
                <c:pt idx="4">
                  <c:v>0</c:v>
                </c:pt>
                <c:pt idx="5">
                  <c:v>642050.22265572508</c:v>
                </c:pt>
                <c:pt idx="6">
                  <c:v>365534.70124622306</c:v>
                </c:pt>
                <c:pt idx="7">
                  <c:v>127833.56158268398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0-F176-4400-9789-AD37355B46B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48843939035517558"/>
          <c:y val="0.24325868840862977"/>
          <c:w val="0.47605524719246162"/>
          <c:h val="0.73993363861432204"/>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'Cash Flow Tables'!$A$71</c:f>
          <c:strCache>
            <c:ptCount val="1"/>
            <c:pt idx="0">
              <c:v>Community Owned (non-taxable)</c:v>
            </c:pt>
          </c:strCache>
        </c:strRef>
      </c:tx>
      <c:layout>
        <c:manualLayout>
          <c:xMode val="edge"/>
          <c:yMode val="edge"/>
          <c:x val="2.8149717514124303E-2"/>
          <c:y val="2.878991944773226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1740281391864642E-2"/>
          <c:y val="0.15905285204813718"/>
          <c:w val="0.43605938742635708"/>
          <c:h val="0.78608755619436654"/>
        </c:manualLayout>
      </c:layout>
      <c:pieChart>
        <c:varyColors val="1"/>
        <c:ser>
          <c:idx val="0"/>
          <c:order val="0"/>
          <c:dPt>
            <c:idx val="0"/>
            <c:bubble3D val="0"/>
            <c:spPr>
              <a:solidFill>
                <a:schemeClr val="tx2">
                  <a:lumMod val="50000"/>
                </a:schemeClr>
              </a:solidFill>
              <a:ln w="19050">
                <a:solidFill>
                  <a:schemeClr val="tx2">
                    <a:lumMod val="50000"/>
                  </a:schemeClr>
                </a:solidFill>
              </a:ln>
              <a:effectLst/>
            </c:spPr>
            <c:extLst>
              <c:ext xmlns:c16="http://schemas.microsoft.com/office/drawing/2014/chart" uri="{C3380CC4-5D6E-409C-BE32-E72D297353CC}">
                <c16:uniqueId val="{00000001-050D-4812-9443-B6A0221FA800}"/>
              </c:ext>
            </c:extLst>
          </c:dPt>
          <c:dPt>
            <c:idx val="1"/>
            <c:bubble3D val="0"/>
            <c:spPr>
              <a:solidFill>
                <a:schemeClr val="accent1">
                  <a:lumMod val="75000"/>
                </a:schemeClr>
              </a:solidFill>
              <a:ln w="19050">
                <a:solidFill>
                  <a:schemeClr val="accent1">
                    <a:lumMod val="75000"/>
                  </a:schemeClr>
                </a:solidFill>
              </a:ln>
              <a:effectLst/>
            </c:spPr>
            <c:extLst>
              <c:ext xmlns:c16="http://schemas.microsoft.com/office/drawing/2014/chart" uri="{C3380CC4-5D6E-409C-BE32-E72D297353CC}">
                <c16:uniqueId val="{00000003-050D-4812-9443-B6A0221FA800}"/>
              </c:ext>
            </c:extLst>
          </c:dPt>
          <c:dPt>
            <c:idx val="2"/>
            <c:bubble3D val="0"/>
            <c:spPr>
              <a:solidFill>
                <a:schemeClr val="tx2">
                  <a:lumMod val="60000"/>
                  <a:lumOff val="40000"/>
                </a:schemeClr>
              </a:solidFill>
              <a:ln w="19050">
                <a:solidFill>
                  <a:schemeClr val="tx2">
                    <a:lumMod val="60000"/>
                    <a:lumOff val="40000"/>
                  </a:schemeClr>
                </a:solidFill>
              </a:ln>
              <a:effectLst/>
            </c:spPr>
            <c:extLst>
              <c:ext xmlns:c16="http://schemas.microsoft.com/office/drawing/2014/chart" uri="{C3380CC4-5D6E-409C-BE32-E72D297353CC}">
                <c16:uniqueId val="{00000005-050D-4812-9443-B6A0221FA800}"/>
              </c:ext>
            </c:extLst>
          </c:dPt>
          <c:dPt>
            <c:idx val="3"/>
            <c:bubble3D val="0"/>
            <c:spPr>
              <a:solidFill>
                <a:schemeClr val="accent3">
                  <a:lumMod val="50000"/>
                </a:schemeClr>
              </a:solidFill>
              <a:ln w="19050">
                <a:solidFill>
                  <a:schemeClr val="accent3">
                    <a:lumMod val="50000"/>
                  </a:schemeClr>
                </a:solidFill>
              </a:ln>
              <a:effectLst/>
            </c:spPr>
            <c:extLst>
              <c:ext xmlns:c16="http://schemas.microsoft.com/office/drawing/2014/chart" uri="{C3380CC4-5D6E-409C-BE32-E72D297353CC}">
                <c16:uniqueId val="{00000007-050D-4812-9443-B6A0221FA800}"/>
              </c:ext>
            </c:extLst>
          </c:dPt>
          <c:dPt>
            <c:idx val="4"/>
            <c:bubble3D val="0"/>
            <c:spPr>
              <a:solidFill>
                <a:schemeClr val="accent3">
                  <a:lumMod val="75000"/>
                </a:schemeClr>
              </a:solidFill>
              <a:ln w="19050">
                <a:solidFill>
                  <a:schemeClr val="accent3">
                    <a:lumMod val="75000"/>
                  </a:schemeClr>
                </a:solidFill>
              </a:ln>
              <a:effectLst/>
            </c:spPr>
            <c:extLst>
              <c:ext xmlns:c16="http://schemas.microsoft.com/office/drawing/2014/chart" uri="{C3380CC4-5D6E-409C-BE32-E72D297353CC}">
                <c16:uniqueId val="{00000009-050D-4812-9443-B6A0221FA800}"/>
              </c:ext>
            </c:extLst>
          </c:dPt>
          <c:dPt>
            <c:idx val="5"/>
            <c:bubble3D val="0"/>
            <c:spPr>
              <a:solidFill>
                <a:schemeClr val="accent3">
                  <a:lumMod val="60000"/>
                  <a:lumOff val="40000"/>
                </a:schemeClr>
              </a:solidFill>
              <a:ln w="19050">
                <a:solidFill>
                  <a:schemeClr val="accent3">
                    <a:lumMod val="60000"/>
                    <a:lumOff val="40000"/>
                  </a:schemeClr>
                </a:solidFill>
              </a:ln>
              <a:effectLst/>
            </c:spPr>
            <c:extLst>
              <c:ext xmlns:c16="http://schemas.microsoft.com/office/drawing/2014/chart" uri="{C3380CC4-5D6E-409C-BE32-E72D297353CC}">
                <c16:uniqueId val="{0000000B-050D-4812-9443-B6A0221FA800}"/>
              </c:ext>
            </c:extLst>
          </c:dPt>
          <c:dPt>
            <c:idx val="6"/>
            <c:bubble3D val="0"/>
            <c:spPr>
              <a:solidFill>
                <a:schemeClr val="accent3">
                  <a:lumMod val="40000"/>
                  <a:lumOff val="60000"/>
                </a:schemeClr>
              </a:solidFill>
              <a:ln w="19050">
                <a:solidFill>
                  <a:schemeClr val="accent3">
                    <a:lumMod val="40000"/>
                    <a:lumOff val="60000"/>
                  </a:schemeClr>
                </a:solidFill>
              </a:ln>
              <a:effectLst/>
            </c:spPr>
            <c:extLst>
              <c:ext xmlns:c16="http://schemas.microsoft.com/office/drawing/2014/chart" uri="{C3380CC4-5D6E-409C-BE32-E72D297353CC}">
                <c16:uniqueId val="{0000000D-050D-4812-9443-B6A0221FA800}"/>
              </c:ext>
            </c:extLst>
          </c:dPt>
          <c:dPt>
            <c:idx val="7"/>
            <c:bubble3D val="0"/>
            <c:spPr>
              <a:solidFill>
                <a:schemeClr val="accent3">
                  <a:lumMod val="20000"/>
                  <a:lumOff val="80000"/>
                </a:schemeClr>
              </a:solidFill>
              <a:ln w="19050">
                <a:solidFill>
                  <a:schemeClr val="accent3">
                    <a:lumMod val="20000"/>
                    <a:lumOff val="80000"/>
                  </a:schemeClr>
                </a:solidFill>
              </a:ln>
              <a:effectLst/>
            </c:spPr>
            <c:extLst>
              <c:ext xmlns:c16="http://schemas.microsoft.com/office/drawing/2014/chart" uri="{C3380CC4-5D6E-409C-BE32-E72D297353CC}">
                <c16:uniqueId val="{0000000F-050D-4812-9443-B6A0221FA800}"/>
              </c:ext>
            </c:extLst>
          </c:dPt>
          <c:cat>
            <c:strRef>
              <c:extLst>
                <c:ext xmlns:c15="http://schemas.microsoft.com/office/drawing/2012/chart" uri="{02D57815-91ED-43cb-92C2-25804820EDAC}">
                  <c15:fullRef>
                    <c15:sqref>'Cash Flow Tables'!$A$73:$A$81</c15:sqref>
                  </c15:fullRef>
                </c:ext>
              </c:extLst>
              <c:f>('Cash Flow Tables'!$A$73:$A$75,'Cash Flow Tables'!$A$77:$A$81)</c:f>
              <c:strCache>
                <c:ptCount val="8"/>
                <c:pt idx="0">
                  <c:v>Original Owner - Outside</c:v>
                </c:pt>
                <c:pt idx="1">
                  <c:v>Offtakers Outside Economy</c:v>
                </c:pt>
                <c:pt idx="2">
                  <c:v>Lender Outside Economy</c:v>
                </c:pt>
                <c:pt idx="3">
                  <c:v>Original Owner - Local</c:v>
                </c:pt>
                <c:pt idx="4">
                  <c:v>Local Owner after Flip</c:v>
                </c:pt>
                <c:pt idx="5">
                  <c:v>Offtakers Local Economy</c:v>
                </c:pt>
                <c:pt idx="6">
                  <c:v>Lender Local Economy</c:v>
                </c:pt>
                <c:pt idx="7">
                  <c:v>Community PILOT / Lease</c:v>
                </c:pt>
              </c:strCache>
            </c:strRef>
          </c:cat>
          <c:val>
            <c:numRef>
              <c:extLst>
                <c:ext xmlns:c15="http://schemas.microsoft.com/office/drawing/2012/chart" uri="{02D57815-91ED-43cb-92C2-25804820EDAC}">
                  <c15:fullRef>
                    <c15:sqref>'Cash Flow Tables'!$C$73:$C$81</c15:sqref>
                  </c15:fullRef>
                </c:ext>
              </c:extLst>
              <c:f>('Cash Flow Tables'!$C$73:$C$75,'Cash Flow Tables'!$C$77:$C$81)</c:f>
              <c:numCache>
                <c:formatCode>_("$"* #,##0_);_("$"* \(#,##0\);_("$"* "-"??_);_(@_)</c:formatCode>
                <c:ptCount val="8"/>
                <c:pt idx="0">
                  <c:v>0</c:v>
                </c:pt>
                <c:pt idx="1">
                  <c:v>0</c:v>
                </c:pt>
                <c:pt idx="2">
                  <c:v>0</c:v>
                </c:pt>
                <c:pt idx="3">
                  <c:v>89051.121492146864</c:v>
                </c:pt>
                <c:pt idx="4">
                  <c:v>0</c:v>
                </c:pt>
                <c:pt idx="5">
                  <c:v>385230.13359343511</c:v>
                </c:pt>
                <c:pt idx="6">
                  <c:v>493965.81249489583</c:v>
                </c:pt>
                <c:pt idx="7">
                  <c:v>127833.56158268398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0-050D-4812-9443-B6A0221FA800}"/>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48843925247049047"/>
          <c:y val="0.27280951583179769"/>
          <c:w val="0.47605524719246162"/>
          <c:h val="0.69659723385640626"/>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'Cash Flow Tables'!$A$8</c:f>
          <c:strCache>
            <c:ptCount val="1"/>
            <c:pt idx="0">
              <c:v>Third Party</c:v>
            </c:pt>
          </c:strCache>
        </c:strRef>
      </c:tx>
      <c:layout>
        <c:manualLayout>
          <c:xMode val="edge"/>
          <c:yMode val="edge"/>
          <c:x val="7.3001187351581065E-2"/>
          <c:y val="2.51298374937175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51993500812399"/>
          <c:y val="0.19214692578321327"/>
          <c:w val="0.81055149356330458"/>
          <c:h val="0.77066487194958111"/>
        </c:manualLayout>
      </c:layout>
      <c:scatterChart>
        <c:scatterStyle val="lineMarker"/>
        <c:varyColors val="0"/>
        <c:ser>
          <c:idx val="0"/>
          <c:order val="0"/>
          <c:tx>
            <c:strRef>
              <c:f>'Cash Flow Tables'!$A$21</c:f>
              <c:strCache>
                <c:ptCount val="1"/>
                <c:pt idx="0">
                  <c:v>Local Economy</c:v>
                </c:pt>
              </c:strCache>
            </c:strRef>
          </c:tx>
          <c:spPr>
            <a:ln w="63500" cap="rnd" cmpd="sng">
              <a:solidFill>
                <a:schemeClr val="accent3">
                  <a:lumMod val="75000"/>
                </a:schemeClr>
              </a:solidFill>
              <a:round/>
            </a:ln>
            <a:effectLst/>
          </c:spPr>
          <c:marker>
            <c:symbol val="none"/>
          </c:marker>
          <c:xVal>
            <c:numRef>
              <c:f>'Cash Flow Tables'!$E$6:$AI$6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'Cash Flow Tables'!$E$23:$AI$23</c:f>
              <c:numCache>
                <c:formatCode>_("$"* #,##0_);_("$"* \(#,##0\);_("$"* "-"??_);_(@_)</c:formatCode>
                <c:ptCount val="31"/>
                <c:pt idx="0">
                  <c:v>0</c:v>
                </c:pt>
                <c:pt idx="1">
                  <c:v>28495.24</c:v>
                </c:pt>
                <c:pt idx="2">
                  <c:v>57042.559076000005</c:v>
                </c:pt>
                <c:pt idx="3">
                  <c:v>85642.733206232399</c:v>
                </c:pt>
                <c:pt idx="4">
                  <c:v>114296.54993100525</c:v>
                </c:pt>
                <c:pt idx="5">
                  <c:v>143004.80852497724</c:v>
                </c:pt>
                <c:pt idx="6">
                  <c:v>171768.3201719994</c:v>
                </c:pt>
                <c:pt idx="7">
                  <c:v>200587.9081425622</c:v>
                </c:pt>
                <c:pt idx="8">
                  <c:v>229464.40797388638</c:v>
                </c:pt>
                <c:pt idx="9">
                  <c:v>258398.6676526973</c:v>
                </c:pt>
                <c:pt idx="10">
                  <c:v>287391.54780072247</c:v>
                </c:pt>
                <c:pt idx="11">
                  <c:v>316443.92186295323</c:v>
                </c:pt>
                <c:pt idx="12">
                  <c:v>345556.67629871122</c:v>
                </c:pt>
                <c:pt idx="13">
                  <c:v>374730.71077556204</c:v>
                </c:pt>
                <c:pt idx="14">
                  <c:v>403966.93836611789</c:v>
                </c:pt>
                <c:pt idx="15">
                  <c:v>433266.28574777307</c:v>
                </c:pt>
                <c:pt idx="16">
                  <c:v>462629.69340541487</c:v>
                </c:pt>
                <c:pt idx="17">
                  <c:v>492058.11583715555</c:v>
                </c:pt>
                <c:pt idx="18">
                  <c:v>521552.52176312916</c:v>
                </c:pt>
                <c:pt idx="19">
                  <c:v>551113.89433739975</c:v>
                </c:pt>
                <c:pt idx="20">
                  <c:v>580743.23136302701</c:v>
                </c:pt>
                <c:pt idx="21">
                  <c:v>610441.54551033606</c:v>
                </c:pt>
                <c:pt idx="22">
                  <c:v>640209.86453844002</c:v>
                </c:pt>
                <c:pt idx="23">
                  <c:v>670049.23152006278</c:v>
                </c:pt>
                <c:pt idx="24">
                  <c:v>699960.70506971166</c:v>
                </c:pt>
                <c:pt idx="25">
                  <c:v>729945.35957525042</c:v>
                </c:pt>
                <c:pt idx="26">
                  <c:v>729945.35957525042</c:v>
                </c:pt>
                <c:pt idx="27">
                  <c:v>729945.35957525042</c:v>
                </c:pt>
                <c:pt idx="28">
                  <c:v>729945.35957525042</c:v>
                </c:pt>
                <c:pt idx="29">
                  <c:v>729945.35957525042</c:v>
                </c:pt>
                <c:pt idx="30">
                  <c:v>729945.35957525042</c:v>
                </c:pt>
              </c:numCache>
            </c:numRef>
          </c:yVal>
          <c:smooth val="0"/>
          <c:extLst>
            <c:ext xmlns:c16="http://schemas.microsoft.com/office/drawing/2014/chart" uri="{C3380CC4-5D6E-409C-BE32-E72D297353CC}">
              <c16:uniqueId val="{00000000-FE80-41AE-A91D-DA5C8B6A8494}"/>
            </c:ext>
          </c:extLst>
        </c:ser>
        <c:ser>
          <c:idx val="1"/>
          <c:order val="1"/>
          <c:tx>
            <c:strRef>
              <c:f>'Cash Flow Tables'!$A$22</c:f>
              <c:strCache>
                <c:ptCount val="1"/>
                <c:pt idx="0">
                  <c:v>Outside Economy</c:v>
                </c:pt>
              </c:strCache>
            </c:strRef>
          </c:tx>
          <c:spPr>
            <a:ln w="63500" cap="rnd">
              <a:solidFill>
                <a:schemeClr val="tx2">
                  <a:lumMod val="50000"/>
                </a:schemeClr>
              </a:solidFill>
              <a:round/>
            </a:ln>
            <a:effectLst/>
          </c:spPr>
          <c:marker>
            <c:symbol val="none"/>
          </c:marker>
          <c:yVal>
            <c:numRef>
              <c:f>'Cash Flow Tables'!$E$24:$AI$24</c:f>
              <c:numCache>
                <c:formatCode>_("$"* #,##0_);_("$"* \(#,##0\);_("$"* "-"??_);_(@_)</c:formatCode>
                <c:ptCount val="31"/>
                <c:pt idx="0">
                  <c:v>-621600</c:v>
                </c:pt>
                <c:pt idx="1">
                  <c:v>-424443.29367193358</c:v>
                </c:pt>
                <c:pt idx="2">
                  <c:v>-185315.75403515395</c:v>
                </c:pt>
                <c:pt idx="3">
                  <c:v>448.82546974573052</c:v>
                </c:pt>
                <c:pt idx="4">
                  <c:v>152299.56837092768</c:v>
                </c:pt>
                <c:pt idx="5">
                  <c:v>299495.73950328946</c:v>
                </c:pt>
                <c:pt idx="6">
                  <c:v>419718.84161636612</c:v>
                </c:pt>
                <c:pt idx="7">
                  <c:v>512736.50987082627</c:v>
                </c:pt>
                <c:pt idx="8">
                  <c:v>600401.72169941489</c:v>
                </c:pt>
                <c:pt idx="9">
                  <c:v>682453.17535681033</c:v>
                </c:pt>
                <c:pt idx="10">
                  <c:v>707737.79432239512</c:v>
                </c:pt>
                <c:pt idx="11">
                  <c:v>777713.78654984583</c:v>
                </c:pt>
                <c:pt idx="12">
                  <c:v>841193.64737715013</c:v>
                </c:pt>
                <c:pt idx="13">
                  <c:v>897847.10271954478</c:v>
                </c:pt>
                <c:pt idx="14">
                  <c:v>947323.98896528815</c:v>
                </c:pt>
                <c:pt idx="15">
                  <c:v>989253.06577945047</c:v>
                </c:pt>
                <c:pt idx="16">
                  <c:v>1119243.2389052222</c:v>
                </c:pt>
                <c:pt idx="17">
                  <c:v>1248208.6046764755</c:v>
                </c:pt>
                <c:pt idx="18">
                  <c:v>1376146.8659852829</c:v>
                </c:pt>
                <c:pt idx="19">
                  <c:v>1503055.5468980006</c:v>
                </c:pt>
                <c:pt idx="20">
                  <c:v>1578055.9887203535</c:v>
                </c:pt>
                <c:pt idx="21">
                  <c:v>1739582.9983422221</c:v>
                </c:pt>
                <c:pt idx="22">
                  <c:v>1903286.1197372538</c:v>
                </c:pt>
                <c:pt idx="23">
                  <c:v>2069196.6752715406</c:v>
                </c:pt>
                <c:pt idx="24">
                  <c:v>2237346.3693087338</c:v>
                </c:pt>
                <c:pt idx="25">
                  <c:v>2407767.2920699813</c:v>
                </c:pt>
                <c:pt idx="26">
                  <c:v>2407767.2920699813</c:v>
                </c:pt>
                <c:pt idx="27">
                  <c:v>2407767.2920699813</c:v>
                </c:pt>
                <c:pt idx="28">
                  <c:v>2407767.2920699813</c:v>
                </c:pt>
                <c:pt idx="29">
                  <c:v>2407767.2920699813</c:v>
                </c:pt>
                <c:pt idx="30">
                  <c:v>2407767.2920699813</c:v>
                </c:pt>
              </c:numCache>
            </c:numRef>
          </c:yVal>
          <c:smooth val="0"/>
          <c:extLst>
            <c:ext xmlns:c16="http://schemas.microsoft.com/office/drawing/2014/chart" uri="{C3380CC4-5D6E-409C-BE32-E72D297353CC}">
              <c16:uniqueId val="{00000001-FE80-41AE-A91D-DA5C8B6A8494}"/>
            </c:ext>
          </c:extLst>
        </c:ser>
        <c:dLbls>
          <c:showLegendKey val="0"/>
          <c:showVal val="0"/>
          <c:showCatName val="0"/>
          <c:showSerName val="0"/>
          <c:showPercent val="0"/>
          <c:showBubbleSize val="0"/>
        </c:dLbls>
        <c:axId val="497505872"/>
        <c:axId val="497506856"/>
      </c:scatterChart>
      <c:valAx>
        <c:axId val="497505872"/>
        <c:scaling>
          <c:orientation val="minMax"/>
          <c:max val="30"/>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97506856"/>
        <c:crosses val="autoZero"/>
        <c:crossBetween val="midCat"/>
      </c:valAx>
      <c:valAx>
        <c:axId val="497506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Cumulative Cash Flow, million$</a:t>
                </a:r>
              </a:p>
            </c:rich>
          </c:tx>
          <c:layout>
            <c:manualLayout>
              <c:xMode val="edge"/>
              <c:yMode val="edge"/>
              <c:x val="1.4635670541182355E-3"/>
              <c:y val="0.180289365425066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97505872"/>
        <c:crosses val="autoZero"/>
        <c:crossBetween val="midCat"/>
        <c:dispUnits>
          <c:builtInUnit val="millions"/>
        </c:dispUnits>
      </c:valAx>
      <c:spPr>
        <a:noFill/>
        <a:ln>
          <a:noFill/>
        </a:ln>
        <a:effectLst/>
      </c:spPr>
    </c:plotArea>
    <c:legend>
      <c:legendPos val="r"/>
      <c:layout>
        <c:manualLayout>
          <c:xMode val="edge"/>
          <c:yMode val="edge"/>
          <c:x val="0.1464923134608174"/>
          <c:y val="0.21860957539881981"/>
          <c:w val="0.39540151231096116"/>
          <c:h val="0.1912538858174643"/>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'Cash Flow Tables'!$A$29</c:f>
          <c:strCache>
            <c:ptCount val="1"/>
            <c:pt idx="0">
              <c:v>Third Party Flip</c:v>
            </c:pt>
          </c:strCache>
        </c:strRef>
      </c:tx>
      <c:layout>
        <c:manualLayout>
          <c:xMode val="edge"/>
          <c:yMode val="edge"/>
          <c:x val="7.6969441319835033E-2"/>
          <c:y val="3.6950168462984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7186132983377"/>
          <c:y val="0.19214708326956739"/>
          <c:w val="0.82435285433070871"/>
          <c:h val="0.77066487194958111"/>
        </c:manualLayout>
      </c:layout>
      <c:scatterChart>
        <c:scatterStyle val="lineMarker"/>
        <c:varyColors val="0"/>
        <c:ser>
          <c:idx val="0"/>
          <c:order val="0"/>
          <c:tx>
            <c:strRef>
              <c:f>'Cash Flow Tables'!$A$21</c:f>
              <c:strCache>
                <c:ptCount val="1"/>
                <c:pt idx="0">
                  <c:v>Local Economy</c:v>
                </c:pt>
              </c:strCache>
            </c:strRef>
          </c:tx>
          <c:spPr>
            <a:ln w="63500" cap="rnd" cmpd="sng">
              <a:solidFill>
                <a:schemeClr val="accent3">
                  <a:lumMod val="75000"/>
                </a:schemeClr>
              </a:solidFill>
              <a:round/>
            </a:ln>
            <a:effectLst/>
          </c:spPr>
          <c:marker>
            <c:symbol val="none"/>
          </c:marker>
          <c:xVal>
            <c:numRef>
              <c:f>'Cash Flow Tables'!$E$6:$AI$6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'Cash Flow Tables'!$E$44:$AI$44</c:f>
              <c:numCache>
                <c:formatCode>_("$"* #,##0_);_("$"* \(#,##0\);_("$"* "-"??_);_(@_)</c:formatCode>
                <c:ptCount val="31"/>
                <c:pt idx="0">
                  <c:v>0</c:v>
                </c:pt>
                <c:pt idx="1">
                  <c:v>35485.72</c:v>
                </c:pt>
                <c:pt idx="2">
                  <c:v>71127.677228</c:v>
                </c:pt>
                <c:pt idx="3">
                  <c:v>106928.1996186972</c:v>
                </c:pt>
                <c:pt idx="4">
                  <c:v>142889.64979301579</c:v>
                </c:pt>
                <c:pt idx="5">
                  <c:v>179014.42557493172</c:v>
                </c:pt>
                <c:pt idx="6">
                  <c:v>215304.96051599822</c:v>
                </c:pt>
                <c:pt idx="7">
                  <c:v>251763.7244276866</c:v>
                </c:pt>
                <c:pt idx="8">
                  <c:v>288393.22392165911</c:v>
                </c:pt>
                <c:pt idx="9">
                  <c:v>325196.00295809185</c:v>
                </c:pt>
                <c:pt idx="10">
                  <c:v>152174.64340216742</c:v>
                </c:pt>
                <c:pt idx="11">
                  <c:v>289473.09158720612</c:v>
                </c:pt>
                <c:pt idx="12">
                  <c:v>423869.63898523536</c:v>
                </c:pt>
                <c:pt idx="13">
                  <c:v>555252.3885031261</c:v>
                </c:pt>
                <c:pt idx="14">
                  <c:v>683502.69671527634</c:v>
                </c:pt>
                <c:pt idx="15">
                  <c:v>808494.77586363908</c:v>
                </c:pt>
                <c:pt idx="16">
                  <c:v>930095.27210411744</c:v>
                </c:pt>
                <c:pt idx="17">
                  <c:v>1048162.8185774076</c:v>
                </c:pt>
                <c:pt idx="18">
                  <c:v>1162547.5617971339</c:v>
                </c:pt>
                <c:pt idx="19">
                  <c:v>1273090.659757775</c:v>
                </c:pt>
                <c:pt idx="20">
                  <c:v>1328747.7500691146</c:v>
                </c:pt>
                <c:pt idx="21">
                  <c:v>1510576.4455436741</c:v>
                </c:pt>
                <c:pt idx="22">
                  <c:v>1694511.2479106018</c:v>
                </c:pt>
                <c:pt idx="23">
                  <c:v>1880582.4364632659</c:v>
                </c:pt>
                <c:pt idx="24">
                  <c:v>2068820.6569508102</c:v>
                </c:pt>
                <c:pt idx="25">
                  <c:v>2259256.9252065192</c:v>
                </c:pt>
                <c:pt idx="26">
                  <c:v>2259256.9252065192</c:v>
                </c:pt>
                <c:pt idx="27">
                  <c:v>2259256.9252065192</c:v>
                </c:pt>
                <c:pt idx="28">
                  <c:v>2259256.9252065192</c:v>
                </c:pt>
                <c:pt idx="29">
                  <c:v>2259256.9252065192</c:v>
                </c:pt>
                <c:pt idx="30">
                  <c:v>2259256.9252065192</c:v>
                </c:pt>
              </c:numCache>
            </c:numRef>
          </c:yVal>
          <c:smooth val="0"/>
          <c:extLst>
            <c:ext xmlns:c16="http://schemas.microsoft.com/office/drawing/2014/chart" uri="{C3380CC4-5D6E-409C-BE32-E72D297353CC}">
              <c16:uniqueId val="{00000000-1339-4912-9F49-B8B940717B48}"/>
            </c:ext>
          </c:extLst>
        </c:ser>
        <c:ser>
          <c:idx val="1"/>
          <c:order val="1"/>
          <c:tx>
            <c:strRef>
              <c:f>'Cash Flow Tables'!$A$22</c:f>
              <c:strCache>
                <c:ptCount val="1"/>
                <c:pt idx="0">
                  <c:v>Outside Economy</c:v>
                </c:pt>
              </c:strCache>
            </c:strRef>
          </c:tx>
          <c:spPr>
            <a:ln w="63500" cap="rnd">
              <a:solidFill>
                <a:schemeClr val="tx2">
                  <a:lumMod val="50000"/>
                </a:schemeClr>
              </a:solidFill>
              <a:round/>
            </a:ln>
            <a:effectLst/>
          </c:spPr>
          <c:marker>
            <c:symbol val="none"/>
          </c:marker>
          <c:yVal>
            <c:numRef>
              <c:f>'Cash Flow Tables'!$E$45:$AI$45</c:f>
              <c:numCache>
                <c:formatCode>_("$"* #,##0_);_("$"* \(#,##0\);_("$"* "-"??_);_(@_)</c:formatCode>
                <c:ptCount val="31"/>
                <c:pt idx="0">
                  <c:v>-621600</c:v>
                </c:pt>
                <c:pt idx="1">
                  <c:v>-462114.57680468593</c:v>
                </c:pt>
                <c:pt idx="2">
                  <c:v>-263106.24636557588</c:v>
                </c:pt>
                <c:pt idx="3">
                  <c:v>-120050.98015450279</c:v>
                </c:pt>
                <c:pt idx="4">
                  <c:v>-13650.293363182136</c:v>
                </c:pt>
                <c:pt idx="5">
                  <c:v>85195.472836349072</c:v>
                </c:pt>
                <c:pt idx="6">
                  <c:v>153998.71092084952</c:v>
                </c:pt>
                <c:pt idx="7">
                  <c:v>192347.87233062822</c:v>
                </c:pt>
                <c:pt idx="8">
                  <c:v>221906.07401384716</c:v>
                </c:pt>
                <c:pt idx="9">
                  <c:v>242210.83747698419</c:v>
                </c:pt>
                <c:pt idx="10">
                  <c:v>726895.91533473169</c:v>
                </c:pt>
                <c:pt idx="11">
                  <c:v>735000.66345919319</c:v>
                </c:pt>
                <c:pt idx="12">
                  <c:v>743226.17233070917</c:v>
                </c:pt>
                <c:pt idx="13">
                  <c:v>751574.24128441082</c:v>
                </c:pt>
                <c:pt idx="14">
                  <c:v>760046.69646552252</c:v>
                </c:pt>
                <c:pt idx="15">
                  <c:v>768645.39122883289</c:v>
                </c:pt>
                <c:pt idx="16">
                  <c:v>777372.20654411649</c:v>
                </c:pt>
                <c:pt idx="17">
                  <c:v>786229.05140759784</c:v>
                </c:pt>
                <c:pt idx="18">
                  <c:v>795217.86325954506</c:v>
                </c:pt>
                <c:pt idx="19">
                  <c:v>804340.60840808635</c:v>
                </c:pt>
                <c:pt idx="20">
                  <c:v>813599.28245934087</c:v>
                </c:pt>
                <c:pt idx="21">
                  <c:v>822995.91075395909</c:v>
                </c:pt>
                <c:pt idx="22">
                  <c:v>832532.54881016712</c:v>
                </c:pt>
                <c:pt idx="23">
                  <c:v>842211.28277341265</c:v>
                </c:pt>
                <c:pt idx="24">
                  <c:v>852034.22987271054</c:v>
                </c:pt>
                <c:pt idx="25">
                  <c:v>862003.53888378793</c:v>
                </c:pt>
                <c:pt idx="26">
                  <c:v>862003.53888378793</c:v>
                </c:pt>
                <c:pt idx="27">
                  <c:v>862003.53888378793</c:v>
                </c:pt>
                <c:pt idx="28">
                  <c:v>862003.53888378793</c:v>
                </c:pt>
                <c:pt idx="29">
                  <c:v>862003.53888378793</c:v>
                </c:pt>
                <c:pt idx="30">
                  <c:v>862003.53888378793</c:v>
                </c:pt>
              </c:numCache>
            </c:numRef>
          </c:yVal>
          <c:smooth val="0"/>
          <c:extLst>
            <c:ext xmlns:c16="http://schemas.microsoft.com/office/drawing/2014/chart" uri="{C3380CC4-5D6E-409C-BE32-E72D297353CC}">
              <c16:uniqueId val="{00000001-1339-4912-9F49-B8B940717B48}"/>
            </c:ext>
          </c:extLst>
        </c:ser>
        <c:dLbls>
          <c:showLegendKey val="0"/>
          <c:showVal val="0"/>
          <c:showCatName val="0"/>
          <c:showSerName val="0"/>
          <c:showPercent val="0"/>
          <c:showBubbleSize val="0"/>
        </c:dLbls>
        <c:axId val="497505872"/>
        <c:axId val="497506856"/>
      </c:scatterChart>
      <c:valAx>
        <c:axId val="497505872"/>
        <c:scaling>
          <c:orientation val="minMax"/>
          <c:max val="30"/>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97506856"/>
        <c:crosses val="autoZero"/>
        <c:crossBetween val="midCat"/>
      </c:valAx>
      <c:valAx>
        <c:axId val="497506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Cumulative Cash Flow, million$</a:t>
                </a:r>
              </a:p>
            </c:rich>
          </c:tx>
          <c:layout>
            <c:manualLayout>
              <c:xMode val="edge"/>
              <c:yMode val="edge"/>
              <c:x val="1.4635670541182355E-3"/>
              <c:y val="0.180289365425066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97505872"/>
        <c:crosses val="autoZero"/>
        <c:crossBetween val="midCat"/>
        <c:dispUnits>
          <c:builtInUnit val="millions"/>
        </c:dispUnits>
      </c:valAx>
      <c:spPr>
        <a:noFill/>
        <a:ln>
          <a:noFill/>
        </a:ln>
        <a:effectLst/>
      </c:spPr>
    </c:plotArea>
    <c:legend>
      <c:legendPos val="r"/>
      <c:layout>
        <c:manualLayout>
          <c:xMode val="edge"/>
          <c:yMode val="edge"/>
          <c:x val="0.13855580552430949"/>
          <c:y val="0.23042990636808694"/>
          <c:w val="0.42317929008873889"/>
          <c:h val="0.18534372033283072"/>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'Cash Flow Tables'!$A$50</c:f>
          <c:strCache>
            <c:ptCount val="1"/>
            <c:pt idx="0">
              <c:v>Community Owned (taxable)</c:v>
            </c:pt>
          </c:strCache>
        </c:strRef>
      </c:tx>
      <c:layout>
        <c:manualLayout>
          <c:xMode val="edge"/>
          <c:yMode val="edge"/>
          <c:x val="7.3001187351581065E-2"/>
          <c:y val="4.286033394761824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11154855643044"/>
          <c:y val="0.19214708326956739"/>
          <c:w val="0.81095988001499808"/>
          <c:h val="0.77066487194958111"/>
        </c:manualLayout>
      </c:layout>
      <c:scatterChart>
        <c:scatterStyle val="lineMarker"/>
        <c:varyColors val="0"/>
        <c:ser>
          <c:idx val="0"/>
          <c:order val="0"/>
          <c:tx>
            <c:strRef>
              <c:f>'Cash Flow Tables'!$A$21</c:f>
              <c:strCache>
                <c:ptCount val="1"/>
                <c:pt idx="0">
                  <c:v>Local Economy</c:v>
                </c:pt>
              </c:strCache>
            </c:strRef>
          </c:tx>
          <c:spPr>
            <a:ln w="63500" cap="rnd" cmpd="sng">
              <a:solidFill>
                <a:schemeClr val="accent3">
                  <a:lumMod val="75000"/>
                </a:schemeClr>
              </a:solidFill>
              <a:round/>
            </a:ln>
            <a:effectLst/>
          </c:spPr>
          <c:marker>
            <c:symbol val="none"/>
          </c:marker>
          <c:xVal>
            <c:numRef>
              <c:f>'Cash Flow Tables'!$E$6:$AI$6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'Cash Flow Tables'!$E$65:$AI$65</c:f>
              <c:numCache>
                <c:formatCode>_("$"* #,##0_);_("$"* \(#,##0\);_("$"* "-"??_);_(@_)</c:formatCode>
                <c:ptCount val="31"/>
                <c:pt idx="0">
                  <c:v>-621600</c:v>
                </c:pt>
                <c:pt idx="1">
                  <c:v>-392884.30691193359</c:v>
                </c:pt>
                <c:pt idx="2">
                  <c:v>-122038.99141242995</c:v>
                </c:pt>
                <c:pt idx="3">
                  <c:v>95604.519015548314</c:v>
                </c:pt>
                <c:pt idx="4">
                  <c:v>279497.74911056273</c:v>
                </c:pt>
                <c:pt idx="5">
                  <c:v>458902.40069594508</c:v>
                </c:pt>
                <c:pt idx="6">
                  <c:v>611502.4498207923</c:v>
                </c:pt>
                <c:pt idx="7">
                  <c:v>737068.04179749836</c:v>
                </c:pt>
                <c:pt idx="8">
                  <c:v>857454.7016117943</c:v>
                </c:pt>
                <c:pt idx="9">
                  <c:v>972403.71302988427</c:v>
                </c:pt>
                <c:pt idx="10">
                  <c:v>1030764.6235667978</c:v>
                </c:pt>
                <c:pt idx="11">
                  <c:v>1133998.30430999</c:v>
                </c:pt>
                <c:pt idx="12">
                  <c:v>1230919.9534119205</c:v>
                </c:pt>
                <c:pt idx="13">
                  <c:v>1321202.0398742333</c:v>
                </c:pt>
                <c:pt idx="14">
                  <c:v>1404497.1840435816</c:v>
                </c:pt>
                <c:pt idx="15">
                  <c:v>1480436.9710244103</c:v>
                </c:pt>
                <c:pt idx="16">
                  <c:v>1644633.1740983319</c:v>
                </c:pt>
                <c:pt idx="17">
                  <c:v>1808002.7998639625</c:v>
                </c:pt>
                <c:pt idx="18">
                  <c:v>1970546.5048410636</c:v>
                </c:pt>
                <c:pt idx="19">
                  <c:v>2132264.8107327325</c:v>
                </c:pt>
                <c:pt idx="20">
                  <c:v>2242282.101146223</c:v>
                </c:pt>
                <c:pt idx="21">
                  <c:v>2439036.2706032372</c:v>
                </c:pt>
                <c:pt idx="22">
                  <c:v>2638179.996714958</c:v>
                </c:pt>
                <c:pt idx="23">
                  <c:v>2839747.7821762124</c:v>
                </c:pt>
                <c:pt idx="24">
                  <c:v>3043774.5590662854</c:v>
                </c:pt>
                <c:pt idx="25">
                  <c:v>3250295.6934149205</c:v>
                </c:pt>
                <c:pt idx="26">
                  <c:v>3250295.6934149205</c:v>
                </c:pt>
                <c:pt idx="27">
                  <c:v>3250295.6934149205</c:v>
                </c:pt>
                <c:pt idx="28">
                  <c:v>3250295.6934149205</c:v>
                </c:pt>
                <c:pt idx="29">
                  <c:v>3250295.6934149205</c:v>
                </c:pt>
                <c:pt idx="30">
                  <c:v>3250295.6934149205</c:v>
                </c:pt>
              </c:numCache>
            </c:numRef>
          </c:yVal>
          <c:smooth val="0"/>
          <c:extLst>
            <c:ext xmlns:c16="http://schemas.microsoft.com/office/drawing/2014/chart" uri="{C3380CC4-5D6E-409C-BE32-E72D297353CC}">
              <c16:uniqueId val="{00000000-5E59-461A-875E-9AD409CF5382}"/>
            </c:ext>
          </c:extLst>
        </c:ser>
        <c:ser>
          <c:idx val="1"/>
          <c:order val="1"/>
          <c:tx>
            <c:strRef>
              <c:f>'Cash Flow Tables'!$A$22</c:f>
              <c:strCache>
                <c:ptCount val="1"/>
                <c:pt idx="0">
                  <c:v>Outside Economy</c:v>
                </c:pt>
              </c:strCache>
            </c:strRef>
          </c:tx>
          <c:spPr>
            <a:ln w="63500" cap="rnd">
              <a:solidFill>
                <a:schemeClr val="tx2">
                  <a:lumMod val="50000"/>
                </a:schemeClr>
              </a:solidFill>
              <a:round/>
            </a:ln>
            <a:effectLst/>
          </c:spPr>
          <c:marker>
            <c:symbol val="none"/>
          </c:marker>
          <c:yVal>
            <c:numRef>
              <c:f>'Cash Flow Tables'!$E$66:$AI$66</c:f>
              <c:numCache>
                <c:formatCode>_("$"* #,##0_);_("$"* \(#,##0\);_("$"* "-"??_);_(@_)</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1-5E59-461A-875E-9AD409CF5382}"/>
            </c:ext>
          </c:extLst>
        </c:ser>
        <c:dLbls>
          <c:showLegendKey val="0"/>
          <c:showVal val="0"/>
          <c:showCatName val="0"/>
          <c:showSerName val="0"/>
          <c:showPercent val="0"/>
          <c:showBubbleSize val="0"/>
        </c:dLbls>
        <c:axId val="497505872"/>
        <c:axId val="497506856"/>
      </c:scatterChart>
      <c:valAx>
        <c:axId val="497505872"/>
        <c:scaling>
          <c:orientation val="minMax"/>
          <c:max val="30"/>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97506856"/>
        <c:crosses val="autoZero"/>
        <c:crossBetween val="midCat"/>
      </c:valAx>
      <c:valAx>
        <c:axId val="497506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Cumulative Cash Flow, million$</a:t>
                </a:r>
              </a:p>
            </c:rich>
          </c:tx>
          <c:layout>
            <c:manualLayout>
              <c:xMode val="edge"/>
              <c:yMode val="edge"/>
              <c:x val="1.4635670541182355E-3"/>
              <c:y val="0.198019861878967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97505872"/>
        <c:crosses val="autoZero"/>
        <c:crossBetween val="midCat"/>
        <c:dispUnits>
          <c:builtInUnit val="millions"/>
        </c:dispUnits>
      </c:valAx>
      <c:spPr>
        <a:noFill/>
        <a:ln>
          <a:noFill/>
        </a:ln>
        <a:effectLst/>
      </c:spPr>
    </c:plotArea>
    <c:legend>
      <c:legendPos val="r"/>
      <c:layout>
        <c:manualLayout>
          <c:xMode val="edge"/>
          <c:yMode val="edge"/>
          <c:x val="0.13458755155605551"/>
          <c:y val="0.20678924442955268"/>
          <c:w val="0.41524278215223098"/>
          <c:h val="0.16761322387893002"/>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'Cash Flow Tables'!$A$71</c:f>
          <c:strCache>
            <c:ptCount val="1"/>
            <c:pt idx="0">
              <c:v>Community Owned (non-taxable)</c:v>
            </c:pt>
          </c:strCache>
        </c:strRef>
      </c:tx>
      <c:layout>
        <c:manualLayout>
          <c:xMode val="edge"/>
          <c:yMode val="edge"/>
          <c:x val="7.6969441319835033E-2"/>
          <c:y val="4.877049943225181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07980252468442"/>
          <c:y val="0.19214708326956739"/>
          <c:w val="0.80699162604674413"/>
          <c:h val="0.77066487194958111"/>
        </c:manualLayout>
      </c:layout>
      <c:scatterChart>
        <c:scatterStyle val="lineMarker"/>
        <c:varyColors val="0"/>
        <c:ser>
          <c:idx val="0"/>
          <c:order val="0"/>
          <c:tx>
            <c:strRef>
              <c:f>'Cash Flow Tables'!$A$21</c:f>
              <c:strCache>
                <c:ptCount val="1"/>
                <c:pt idx="0">
                  <c:v>Local Economy</c:v>
                </c:pt>
              </c:strCache>
            </c:strRef>
          </c:tx>
          <c:spPr>
            <a:ln w="63500" cap="rnd" cmpd="sng">
              <a:solidFill>
                <a:schemeClr val="accent3">
                  <a:lumMod val="75000"/>
                </a:schemeClr>
              </a:solidFill>
              <a:round/>
            </a:ln>
            <a:effectLst/>
          </c:spPr>
          <c:marker>
            <c:symbol val="none"/>
          </c:marker>
          <c:xVal>
            <c:numRef>
              <c:f>'Cash Flow Tables'!$E$6:$AI$6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'Cash Flow Tables'!$E$86:$AI$86</c:f>
              <c:numCache>
                <c:formatCode>_("$"* #,##0_);_("$"* \(#,##0\);_("$"* "-"??_);_(@_)</c:formatCode>
                <c:ptCount val="31"/>
                <c:pt idx="0">
                  <c:v>-840000</c:v>
                </c:pt>
                <c:pt idx="1">
                  <c:v>-671117.08258369402</c:v>
                </c:pt>
                <c:pt idx="2">
                  <c:v>-506897.23012240964</c:v>
                </c:pt>
                <c:pt idx="3">
                  <c:v>-347535.74631344824</c:v>
                </c:pt>
                <c:pt idx="4">
                  <c:v>-193239.81297694915</c:v>
                </c:pt>
                <c:pt idx="5">
                  <c:v>-44229.195381255093</c:v>
                </c:pt>
                <c:pt idx="6">
                  <c:v>99263.010239453084</c:v>
                </c:pt>
                <c:pt idx="7">
                  <c:v>236989.58444718146</c:v>
                </c:pt>
                <c:pt idx="8">
                  <c:v>368688.34496213763</c:v>
                </c:pt>
                <c:pt idx="9">
                  <c:v>494081.25678437273</c:v>
                </c:pt>
                <c:pt idx="10">
                  <c:v>542873.48906435515</c:v>
                </c:pt>
                <c:pt idx="11">
                  <c:v>654752.41553123132</c:v>
                </c:pt>
                <c:pt idx="12">
                  <c:v>759386.5550961491</c:v>
                </c:pt>
                <c:pt idx="13">
                  <c:v>856424.44904515473</c:v>
                </c:pt>
                <c:pt idx="14">
                  <c:v>945493.47102114954</c:v>
                </c:pt>
                <c:pt idx="15">
                  <c:v>1026198.5657664571</c:v>
                </c:pt>
                <c:pt idx="16">
                  <c:v>1227853.9949396476</c:v>
                </c:pt>
                <c:pt idx="17">
                  <c:v>1428066.6575170227</c:v>
                </c:pt>
                <c:pt idx="18">
                  <c:v>1626832.9050953127</c:v>
                </c:pt>
                <c:pt idx="19">
                  <c:v>1824148.8359573581</c:v>
                </c:pt>
                <c:pt idx="20">
                  <c:v>1950010.2895497815</c:v>
                </c:pt>
                <c:pt idx="21">
                  <c:v>2194888.4219712913</c:v>
                </c:pt>
                <c:pt idx="22">
                  <c:v>2442725.4013751792</c:v>
                </c:pt>
                <c:pt idx="23">
                  <c:v>2693563.7987596216</c:v>
                </c:pt>
                <c:pt idx="24">
                  <c:v>2947446.7028845823</c:v>
                </c:pt>
                <c:pt idx="25">
                  <c:v>3204417.7254660632</c:v>
                </c:pt>
                <c:pt idx="26">
                  <c:v>3204417.7254660632</c:v>
                </c:pt>
                <c:pt idx="27">
                  <c:v>3204417.7254660632</c:v>
                </c:pt>
                <c:pt idx="28">
                  <c:v>3204417.7254660632</c:v>
                </c:pt>
                <c:pt idx="29">
                  <c:v>3204417.7254660632</c:v>
                </c:pt>
                <c:pt idx="30">
                  <c:v>3204417.7254660632</c:v>
                </c:pt>
              </c:numCache>
            </c:numRef>
          </c:yVal>
          <c:smooth val="0"/>
          <c:extLst>
            <c:ext xmlns:c16="http://schemas.microsoft.com/office/drawing/2014/chart" uri="{C3380CC4-5D6E-409C-BE32-E72D297353CC}">
              <c16:uniqueId val="{00000000-6A16-4751-9FA3-5D52788FE420}"/>
            </c:ext>
          </c:extLst>
        </c:ser>
        <c:ser>
          <c:idx val="1"/>
          <c:order val="1"/>
          <c:tx>
            <c:strRef>
              <c:f>'Cash Flow Tables'!$A$22</c:f>
              <c:strCache>
                <c:ptCount val="1"/>
                <c:pt idx="0">
                  <c:v>Outside Economy</c:v>
                </c:pt>
              </c:strCache>
            </c:strRef>
          </c:tx>
          <c:spPr>
            <a:ln w="63500" cap="rnd">
              <a:solidFill>
                <a:schemeClr val="tx2">
                  <a:lumMod val="50000"/>
                </a:schemeClr>
              </a:solidFill>
              <a:round/>
            </a:ln>
            <a:effectLst/>
          </c:spPr>
          <c:marker>
            <c:symbol val="none"/>
          </c:marker>
          <c:yVal>
            <c:numRef>
              <c:f>'Cash Flow Tables'!$E$87:$AI$87</c:f>
              <c:numCache>
                <c:formatCode>_("$"* #,##0_);_("$"* \(#,##0\);_("$"* "-"??_);_(@_)</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1-6A16-4751-9FA3-5D52788FE420}"/>
            </c:ext>
          </c:extLst>
        </c:ser>
        <c:dLbls>
          <c:showLegendKey val="0"/>
          <c:showVal val="0"/>
          <c:showCatName val="0"/>
          <c:showSerName val="0"/>
          <c:showPercent val="0"/>
          <c:showBubbleSize val="0"/>
        </c:dLbls>
        <c:axId val="497505872"/>
        <c:axId val="497506856"/>
      </c:scatterChart>
      <c:valAx>
        <c:axId val="497505872"/>
        <c:scaling>
          <c:orientation val="minMax"/>
          <c:max val="30"/>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97506856"/>
        <c:crosses val="autoZero"/>
        <c:crossBetween val="midCat"/>
      </c:valAx>
      <c:valAx>
        <c:axId val="497506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Cumulative Cash Flow, million$</a:t>
                </a:r>
              </a:p>
            </c:rich>
          </c:tx>
          <c:layout>
            <c:manualLayout>
              <c:xMode val="edge"/>
              <c:yMode val="edge"/>
              <c:x val="1.4635670541182355E-3"/>
              <c:y val="0.1743791999404329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97505872"/>
        <c:crosses val="autoZero"/>
        <c:crossBetween val="midCat"/>
        <c:dispUnits>
          <c:builtInUnit val="millions"/>
        </c:dispUnits>
      </c:valAx>
      <c:spPr>
        <a:noFill/>
        <a:ln>
          <a:noFill/>
        </a:ln>
        <a:effectLst/>
      </c:spPr>
    </c:plotArea>
    <c:legend>
      <c:legendPos val="r"/>
      <c:layout>
        <c:manualLayout>
          <c:xMode val="edge"/>
          <c:yMode val="edge"/>
          <c:x val="0.14252405949256344"/>
          <c:y val="0.22451974088345339"/>
          <c:w val="0.38746500437445319"/>
          <c:h val="0.15579289290966289"/>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a:solidFill>
                  <a:sysClr val="windowText" lastClr="000000"/>
                </a:solidFill>
              </a:rPr>
              <a:t>NPV of Cash</a:t>
            </a:r>
            <a:r>
              <a:rPr lang="en-US" sz="2400" baseline="0">
                <a:solidFill>
                  <a:sysClr val="windowText" lastClr="000000"/>
                </a:solidFill>
              </a:rPr>
              <a:t> Flows to Recipients</a:t>
            </a:r>
          </a:p>
          <a:p>
            <a:pPr>
              <a:defRPr sz="2400">
                <a:solidFill>
                  <a:sysClr val="windowText" lastClr="000000"/>
                </a:solidFill>
              </a:defRPr>
            </a:pPr>
            <a:r>
              <a:rPr lang="en-US" sz="2400" baseline="0">
                <a:solidFill>
                  <a:sysClr val="windowText" lastClr="000000"/>
                </a:solidFill>
              </a:rPr>
              <a:t>Ownership Options</a:t>
            </a:r>
            <a:endParaRPr lang="en-US" sz="2400">
              <a:solidFill>
                <a:sysClr val="windowText" lastClr="000000"/>
              </a:solidFill>
            </a:endParaRPr>
          </a:p>
        </c:rich>
      </c:tx>
      <c:layout>
        <c:manualLayout>
          <c:xMode val="edge"/>
          <c:yMode val="edge"/>
          <c:x val="0.2509916485131502"/>
          <c:y val="2.0453386548379644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64557384872346"/>
          <c:y val="0.18325423728813559"/>
          <c:w val="0.59804189930804108"/>
          <c:h val="0.68179242848881172"/>
        </c:manualLayout>
      </c:layout>
      <c:barChart>
        <c:barDir val="col"/>
        <c:grouping val="stacked"/>
        <c:varyColors val="0"/>
        <c:ser>
          <c:idx val="0"/>
          <c:order val="0"/>
          <c:tx>
            <c:strRef>
              <c:f>'Cash Flow Tables'!$A$10</c:f>
              <c:strCache>
                <c:ptCount val="1"/>
                <c:pt idx="0">
                  <c:v>Original Owner - Outside</c:v>
                </c:pt>
              </c:strCache>
            </c:strRef>
          </c:tx>
          <c:spPr>
            <a:solidFill>
              <a:schemeClr val="tx2">
                <a:lumMod val="50000"/>
              </a:schemeClr>
            </a:solidFill>
            <a:ln>
              <a:solidFill>
                <a:schemeClr val="tx2">
                  <a:lumMod val="50000"/>
                </a:schemeClr>
              </a:solidFill>
            </a:ln>
            <a:effectLst/>
          </c:spPr>
          <c:invertIfNegative val="0"/>
          <c:cat>
            <c:strRef>
              <c:f>('Cash Flow Tables'!$A$8,'Cash Flow Tables'!$A$29,'Cash Flow Tables'!$A$50,'Cash Flow Tables'!$A$71)</c:f>
              <c:strCache>
                <c:ptCount val="4"/>
                <c:pt idx="0">
                  <c:v>Third Party</c:v>
                </c:pt>
                <c:pt idx="1">
                  <c:v>Third Party Flip</c:v>
                </c:pt>
                <c:pt idx="2">
                  <c:v>Community Owned (taxable)</c:v>
                </c:pt>
                <c:pt idx="3">
                  <c:v>Community Owned (non-taxable)</c:v>
                </c:pt>
              </c:strCache>
            </c:strRef>
          </c:cat>
          <c:val>
            <c:numRef>
              <c:f>('Cash Flow Tables'!$C$10,'Cash Flow Tables'!$C$31,'Cash Flow Tables'!$C$52,'Cash Flow Tables'!$C$73)</c:f>
              <c:numCache>
                <c:formatCode>_("$"* #,##0_);_("$"* \(#,##0\);_("$"* "-"??_);_(@_)</c:formatCode>
                <c:ptCount val="4"/>
                <c:pt idx="0">
                  <c:v>417956.98282468319</c:v>
                </c:pt>
                <c:pt idx="1">
                  <c:v>39745.501193566364</c:v>
                </c:pt>
                <c:pt idx="2">
                  <c:v>0</c:v>
                </c:pt>
                <c:pt idx="3">
                  <c:v>0</c:v>
                </c:pt>
              </c:numCache>
            </c:numRef>
          </c:val>
          <c:extLst>
            <c:ext xmlns:c16="http://schemas.microsoft.com/office/drawing/2014/chart" uri="{C3380CC4-5D6E-409C-BE32-E72D297353CC}">
              <c16:uniqueId val="{00000000-1D7A-4C0F-8C73-91114A085E1C}"/>
            </c:ext>
          </c:extLst>
        </c:ser>
        <c:ser>
          <c:idx val="1"/>
          <c:order val="1"/>
          <c:tx>
            <c:strRef>
              <c:f>'Cash Flow Tables'!$A$11</c:f>
              <c:strCache>
                <c:ptCount val="1"/>
                <c:pt idx="0">
                  <c:v>Offtakers Outside Economy</c:v>
                </c:pt>
              </c:strCache>
            </c:strRef>
          </c:tx>
          <c:spPr>
            <a:solidFill>
              <a:schemeClr val="accent1">
                <a:lumMod val="75000"/>
              </a:schemeClr>
            </a:solidFill>
            <a:ln>
              <a:solidFill>
                <a:schemeClr val="accent1">
                  <a:lumMod val="75000"/>
                </a:schemeClr>
              </a:solidFill>
            </a:ln>
            <a:effectLst/>
          </c:spPr>
          <c:invertIfNegative val="0"/>
          <c:cat>
            <c:strRef>
              <c:f>('Cash Flow Tables'!$A$8,'Cash Flow Tables'!$A$29,'Cash Flow Tables'!$A$50,'Cash Flow Tables'!$A$71)</c:f>
              <c:strCache>
                <c:ptCount val="4"/>
                <c:pt idx="0">
                  <c:v>Third Party</c:v>
                </c:pt>
                <c:pt idx="1">
                  <c:v>Third Party Flip</c:v>
                </c:pt>
                <c:pt idx="2">
                  <c:v>Community Owned (taxable)</c:v>
                </c:pt>
                <c:pt idx="3">
                  <c:v>Community Owned (non-taxable)</c:v>
                </c:pt>
              </c:strCache>
            </c:strRef>
          </c:cat>
          <c:val>
            <c:numRef>
              <c:f>('Cash Flow Tables'!$C$11,'Cash Flow Tables'!$C$32,'Cash Flow Tables'!$C$53,'Cash Flow Tables'!$C$74)</c:f>
              <c:numCache>
                <c:formatCode>_("$"* #,##0_);_("$"* \(#,##0\);_("$"* "-"??_);_(@_)</c:formatCode>
                <c:ptCount val="4"/>
                <c:pt idx="0">
                  <c:v>205456.07124983205</c:v>
                </c:pt>
                <c:pt idx="1">
                  <c:v>102728.03562491602</c:v>
                </c:pt>
                <c:pt idx="2">
                  <c:v>0</c:v>
                </c:pt>
                <c:pt idx="3">
                  <c:v>0</c:v>
                </c:pt>
              </c:numCache>
            </c:numRef>
          </c:val>
          <c:extLst>
            <c:ext xmlns:c16="http://schemas.microsoft.com/office/drawing/2014/chart" uri="{C3380CC4-5D6E-409C-BE32-E72D297353CC}">
              <c16:uniqueId val="{00000001-1D7A-4C0F-8C73-91114A085E1C}"/>
            </c:ext>
          </c:extLst>
        </c:ser>
        <c:ser>
          <c:idx val="2"/>
          <c:order val="2"/>
          <c:tx>
            <c:strRef>
              <c:f>'Cash Flow Tables'!$A$12</c:f>
              <c:strCache>
                <c:ptCount val="1"/>
                <c:pt idx="0">
                  <c:v>Lender Outside Economy</c:v>
                </c:pt>
              </c:strCache>
            </c:strRef>
          </c:tx>
          <c:spPr>
            <a:solidFill>
              <a:schemeClr val="tx2">
                <a:lumMod val="60000"/>
                <a:lumOff val="40000"/>
              </a:schemeClr>
            </a:solidFill>
            <a:ln>
              <a:solidFill>
                <a:schemeClr val="tx2">
                  <a:lumMod val="60000"/>
                  <a:lumOff val="40000"/>
                </a:schemeClr>
              </a:solidFill>
            </a:ln>
            <a:effectLst/>
          </c:spPr>
          <c:invertIfNegative val="0"/>
          <c:cat>
            <c:strRef>
              <c:f>('Cash Flow Tables'!$A$8,'Cash Flow Tables'!$A$29,'Cash Flow Tables'!$A$50,'Cash Flow Tables'!$A$71)</c:f>
              <c:strCache>
                <c:ptCount val="4"/>
                <c:pt idx="0">
                  <c:v>Third Party</c:v>
                </c:pt>
                <c:pt idx="1">
                  <c:v>Third Party Flip</c:v>
                </c:pt>
                <c:pt idx="2">
                  <c:v>Community Owned (taxable)</c:v>
                </c:pt>
                <c:pt idx="3">
                  <c:v>Community Owned (non-taxable)</c:v>
                </c:pt>
              </c:strCache>
            </c:strRef>
          </c:cat>
          <c:val>
            <c:numRef>
              <c:f>('Cash Flow Tables'!$C$12,'Cash Flow Tables'!$C$33,'Cash Flow Tables'!$C$54,'Cash Flow Tables'!$C$75)</c:f>
              <c:numCache>
                <c:formatCode>_("$"* #,##0_);_("$"* \(#,##0\);_("$"* "-"??_);_(@_)</c:formatCode>
                <c:ptCount val="4"/>
                <c:pt idx="0">
                  <c:v>365534.70124622306</c:v>
                </c:pt>
                <c:pt idx="1">
                  <c:v>265048.26184258598</c:v>
                </c:pt>
                <c:pt idx="2">
                  <c:v>0</c:v>
                </c:pt>
                <c:pt idx="3">
                  <c:v>0</c:v>
                </c:pt>
              </c:numCache>
            </c:numRef>
          </c:val>
          <c:extLst>
            <c:ext xmlns:c16="http://schemas.microsoft.com/office/drawing/2014/chart" uri="{C3380CC4-5D6E-409C-BE32-E72D297353CC}">
              <c16:uniqueId val="{00000002-1D7A-4C0F-8C73-91114A085E1C}"/>
            </c:ext>
          </c:extLst>
        </c:ser>
        <c:ser>
          <c:idx val="3"/>
          <c:order val="3"/>
          <c:tx>
            <c:strRef>
              <c:f>'Cash Flow Tables'!$A$14</c:f>
              <c:strCache>
                <c:ptCount val="1"/>
                <c:pt idx="0">
                  <c:v>Original Owner - Local</c:v>
                </c:pt>
              </c:strCache>
            </c:strRef>
          </c:tx>
          <c:spPr>
            <a:solidFill>
              <a:schemeClr val="accent3">
                <a:lumMod val="50000"/>
              </a:schemeClr>
            </a:solidFill>
            <a:ln>
              <a:solidFill>
                <a:schemeClr val="accent3">
                  <a:lumMod val="50000"/>
                </a:schemeClr>
              </a:solidFill>
            </a:ln>
            <a:effectLst/>
          </c:spPr>
          <c:invertIfNegative val="0"/>
          <c:cat>
            <c:strRef>
              <c:f>('Cash Flow Tables'!$A$8,'Cash Flow Tables'!$A$29,'Cash Flow Tables'!$A$50,'Cash Flow Tables'!$A$71)</c:f>
              <c:strCache>
                <c:ptCount val="4"/>
                <c:pt idx="0">
                  <c:v>Third Party</c:v>
                </c:pt>
                <c:pt idx="1">
                  <c:v>Third Party Flip</c:v>
                </c:pt>
                <c:pt idx="2">
                  <c:v>Community Owned (taxable)</c:v>
                </c:pt>
                <c:pt idx="3">
                  <c:v>Community Owned (non-taxable)</c:v>
                </c:pt>
              </c:strCache>
            </c:strRef>
          </c:cat>
          <c:val>
            <c:numRef>
              <c:f>('Cash Flow Tables'!$C$14,'Cash Flow Tables'!$C$35,'Cash Flow Tables'!$C$56,'Cash Flow Tables'!$C$77)</c:f>
              <c:numCache>
                <c:formatCode>_("$"* #,##0_);_("$"* \(#,##0\);_("$"* "-"??_);_(@_)</c:formatCode>
                <c:ptCount val="4"/>
                <c:pt idx="0">
                  <c:v>0</c:v>
                </c:pt>
                <c:pt idx="1">
                  <c:v>0</c:v>
                </c:pt>
                <c:pt idx="2">
                  <c:v>277335.87056641711</c:v>
                </c:pt>
                <c:pt idx="3">
                  <c:v>89051.121492146864</c:v>
                </c:pt>
              </c:numCache>
            </c:numRef>
          </c:val>
          <c:extLst>
            <c:ext xmlns:c16="http://schemas.microsoft.com/office/drawing/2014/chart" uri="{C3380CC4-5D6E-409C-BE32-E72D297353CC}">
              <c16:uniqueId val="{00000003-1D7A-4C0F-8C73-91114A085E1C}"/>
            </c:ext>
          </c:extLst>
        </c:ser>
        <c:ser>
          <c:idx val="4"/>
          <c:order val="4"/>
          <c:tx>
            <c:strRef>
              <c:f>'Cash Flow Tables'!$A$15</c:f>
              <c:strCache>
                <c:ptCount val="1"/>
                <c:pt idx="0">
                  <c:v>Local Owner after Flip</c:v>
                </c:pt>
              </c:strCache>
            </c:strRef>
          </c:tx>
          <c:spPr>
            <a:solidFill>
              <a:schemeClr val="accent3">
                <a:lumMod val="75000"/>
              </a:schemeClr>
            </a:solidFill>
            <a:ln>
              <a:solidFill>
                <a:schemeClr val="accent3">
                  <a:lumMod val="75000"/>
                </a:schemeClr>
              </a:solidFill>
            </a:ln>
            <a:effectLst/>
          </c:spPr>
          <c:invertIfNegative val="0"/>
          <c:cat>
            <c:strRef>
              <c:f>('Cash Flow Tables'!$A$8,'Cash Flow Tables'!$A$29,'Cash Flow Tables'!$A$50,'Cash Flow Tables'!$A$71)</c:f>
              <c:strCache>
                <c:ptCount val="4"/>
                <c:pt idx="0">
                  <c:v>Third Party</c:v>
                </c:pt>
                <c:pt idx="1">
                  <c:v>Third Party Flip</c:v>
                </c:pt>
                <c:pt idx="2">
                  <c:v>Community Owned (taxable)</c:v>
                </c:pt>
                <c:pt idx="3">
                  <c:v>Community Owned (non-taxable)</c:v>
                </c:pt>
              </c:strCache>
            </c:strRef>
          </c:cat>
          <c:val>
            <c:numRef>
              <c:f>('Cash Flow Tables'!$C$15,'Cash Flow Tables'!$C$36,'Cash Flow Tables'!$C$57,'Cash Flow Tables'!$C$78)</c:f>
              <c:numCache>
                <c:formatCode>_("$"* #,##0_);_("$"* \(#,##0\);_("$"* "-"??_);_(@_)</c:formatCode>
                <c:ptCount val="4"/>
                <c:pt idx="0">
                  <c:v>0</c:v>
                </c:pt>
                <c:pt idx="1">
                  <c:v>364418.73083531234</c:v>
                </c:pt>
                <c:pt idx="2">
                  <c:v>0</c:v>
                </c:pt>
                <c:pt idx="3">
                  <c:v>0</c:v>
                </c:pt>
              </c:numCache>
            </c:numRef>
          </c:val>
          <c:extLst>
            <c:ext xmlns:c16="http://schemas.microsoft.com/office/drawing/2014/chart" uri="{C3380CC4-5D6E-409C-BE32-E72D297353CC}">
              <c16:uniqueId val="{00000004-1D7A-4C0F-8C73-91114A085E1C}"/>
            </c:ext>
          </c:extLst>
        </c:ser>
        <c:ser>
          <c:idx val="5"/>
          <c:order val="5"/>
          <c:tx>
            <c:strRef>
              <c:f>'Cash Flow Tables'!$A$16</c:f>
              <c:strCache>
                <c:ptCount val="1"/>
                <c:pt idx="0">
                  <c:v>Offtakers Local Economy</c:v>
                </c:pt>
              </c:strCache>
            </c:strRef>
          </c:tx>
          <c:spPr>
            <a:solidFill>
              <a:schemeClr val="accent3">
                <a:lumMod val="60000"/>
                <a:lumOff val="40000"/>
              </a:schemeClr>
            </a:solidFill>
            <a:ln>
              <a:solidFill>
                <a:schemeClr val="accent3">
                  <a:lumMod val="60000"/>
                  <a:lumOff val="40000"/>
                </a:schemeClr>
              </a:solidFill>
            </a:ln>
            <a:effectLst/>
          </c:spPr>
          <c:invertIfNegative val="0"/>
          <c:cat>
            <c:strRef>
              <c:f>('Cash Flow Tables'!$A$8,'Cash Flow Tables'!$A$29,'Cash Flow Tables'!$A$50,'Cash Flow Tables'!$A$71)</c:f>
              <c:strCache>
                <c:ptCount val="4"/>
                <c:pt idx="0">
                  <c:v>Third Party</c:v>
                </c:pt>
                <c:pt idx="1">
                  <c:v>Third Party Flip</c:v>
                </c:pt>
                <c:pt idx="2">
                  <c:v>Community Owned (taxable)</c:v>
                </c:pt>
                <c:pt idx="3">
                  <c:v>Community Owned (non-taxable)</c:v>
                </c:pt>
              </c:strCache>
            </c:strRef>
          </c:cat>
          <c:val>
            <c:numRef>
              <c:f>('Cash Flow Tables'!$C$16,'Cash Flow Tables'!$C$37,'Cash Flow Tables'!$C$58,'Cash Flow Tables'!$C$79)</c:f>
              <c:numCache>
                <c:formatCode>_("$"* #,##0_);_("$"* \(#,##0\);_("$"* "-"??_);_(@_)</c:formatCode>
                <c:ptCount val="4"/>
                <c:pt idx="0">
                  <c:v>51364.017812458012</c:v>
                </c:pt>
                <c:pt idx="1">
                  <c:v>154092.05343737407</c:v>
                </c:pt>
                <c:pt idx="2">
                  <c:v>642050.22265572508</c:v>
                </c:pt>
                <c:pt idx="3">
                  <c:v>385230.13359343511</c:v>
                </c:pt>
              </c:numCache>
            </c:numRef>
          </c:val>
          <c:extLst>
            <c:ext xmlns:c16="http://schemas.microsoft.com/office/drawing/2014/chart" uri="{C3380CC4-5D6E-409C-BE32-E72D297353CC}">
              <c16:uniqueId val="{00000005-1D7A-4C0F-8C73-91114A085E1C}"/>
            </c:ext>
          </c:extLst>
        </c:ser>
        <c:ser>
          <c:idx val="6"/>
          <c:order val="6"/>
          <c:tx>
            <c:strRef>
              <c:f>'Cash Flow Tables'!$A$17</c:f>
              <c:strCache>
                <c:ptCount val="1"/>
                <c:pt idx="0">
                  <c:v>Lender Local Economy</c:v>
                </c:pt>
              </c:strCache>
            </c:strRef>
          </c:tx>
          <c:spPr>
            <a:solidFill>
              <a:schemeClr val="accent3">
                <a:lumMod val="40000"/>
                <a:lumOff val="60000"/>
              </a:schemeClr>
            </a:solidFill>
            <a:ln>
              <a:solidFill>
                <a:schemeClr val="accent3">
                  <a:lumMod val="40000"/>
                  <a:lumOff val="60000"/>
                </a:schemeClr>
              </a:solidFill>
            </a:ln>
            <a:effectLst/>
          </c:spPr>
          <c:invertIfNegative val="0"/>
          <c:cat>
            <c:strRef>
              <c:f>('Cash Flow Tables'!$A$8,'Cash Flow Tables'!$A$29,'Cash Flow Tables'!$A$50,'Cash Flow Tables'!$A$71)</c:f>
              <c:strCache>
                <c:ptCount val="4"/>
                <c:pt idx="0">
                  <c:v>Third Party</c:v>
                </c:pt>
                <c:pt idx="1">
                  <c:v>Third Party Flip</c:v>
                </c:pt>
                <c:pt idx="2">
                  <c:v>Community Owned (taxable)</c:v>
                </c:pt>
                <c:pt idx="3">
                  <c:v>Community Owned (non-taxable)</c:v>
                </c:pt>
              </c:strCache>
            </c:strRef>
          </c:cat>
          <c:val>
            <c:numRef>
              <c:f>('Cash Flow Tables'!$C$17,'Cash Flow Tables'!$C$38,'Cash Flow Tables'!$C$59,'Cash Flow Tables'!$C$80)</c:f>
              <c:numCache>
                <c:formatCode>_("$"* #,##0_);_("$"* \(#,##0\);_("$"* "-"??_);_(@_)</c:formatCode>
                <c:ptCount val="4"/>
                <c:pt idx="0">
                  <c:v>0</c:v>
                </c:pt>
                <c:pt idx="1">
                  <c:v>50000.528730854923</c:v>
                </c:pt>
                <c:pt idx="2">
                  <c:v>365534.70124622306</c:v>
                </c:pt>
                <c:pt idx="3">
                  <c:v>493965.81249489583</c:v>
                </c:pt>
              </c:numCache>
            </c:numRef>
          </c:val>
          <c:extLst>
            <c:ext xmlns:c16="http://schemas.microsoft.com/office/drawing/2014/chart" uri="{C3380CC4-5D6E-409C-BE32-E72D297353CC}">
              <c16:uniqueId val="{00000006-1D7A-4C0F-8C73-91114A085E1C}"/>
            </c:ext>
          </c:extLst>
        </c:ser>
        <c:ser>
          <c:idx val="7"/>
          <c:order val="7"/>
          <c:tx>
            <c:strRef>
              <c:f>'Cash Flow Tables'!$A$18</c:f>
              <c:strCache>
                <c:ptCount val="1"/>
                <c:pt idx="0">
                  <c:v>Community PILOT / Lease</c:v>
                </c:pt>
              </c:strCache>
            </c:strRef>
          </c:tx>
          <c:spPr>
            <a:solidFill>
              <a:schemeClr val="accent3">
                <a:lumMod val="20000"/>
                <a:lumOff val="80000"/>
              </a:schemeClr>
            </a:solidFill>
            <a:ln>
              <a:solidFill>
                <a:schemeClr val="accent3">
                  <a:lumMod val="20000"/>
                  <a:lumOff val="80000"/>
                </a:schemeClr>
              </a:solidFill>
            </a:ln>
            <a:effectLst/>
          </c:spPr>
          <c:invertIfNegative val="0"/>
          <c:cat>
            <c:strRef>
              <c:f>('Cash Flow Tables'!$A$8,'Cash Flow Tables'!$A$29,'Cash Flow Tables'!$A$50,'Cash Flow Tables'!$A$71)</c:f>
              <c:strCache>
                <c:ptCount val="4"/>
                <c:pt idx="0">
                  <c:v>Third Party</c:v>
                </c:pt>
                <c:pt idx="1">
                  <c:v>Third Party Flip</c:v>
                </c:pt>
                <c:pt idx="2">
                  <c:v>Community Owned (taxable)</c:v>
                </c:pt>
                <c:pt idx="3">
                  <c:v>Community Owned (non-taxable)</c:v>
                </c:pt>
              </c:strCache>
            </c:strRef>
          </c:cat>
          <c:val>
            <c:numRef>
              <c:f>('Cash Flow Tables'!$C$18,'Cash Flow Tables'!$C$39,'Cash Flow Tables'!$C$60,'Cash Flow Tables'!$C$81)</c:f>
              <c:numCache>
                <c:formatCode>_("$"* #,##0_);_("$"* \(#,##0\);_("$"* "-"??_);_(@_)</c:formatCode>
                <c:ptCount val="4"/>
                <c:pt idx="0">
                  <c:v>319583.90395671001</c:v>
                </c:pt>
                <c:pt idx="1">
                  <c:v>319583.90395671001</c:v>
                </c:pt>
                <c:pt idx="2">
                  <c:v>127833.56158268398</c:v>
                </c:pt>
                <c:pt idx="3">
                  <c:v>127833.56158268398</c:v>
                </c:pt>
              </c:numCache>
            </c:numRef>
          </c:val>
          <c:extLst>
            <c:ext xmlns:c16="http://schemas.microsoft.com/office/drawing/2014/chart" uri="{C3380CC4-5D6E-409C-BE32-E72D297353CC}">
              <c16:uniqueId val="{00000007-1D7A-4C0F-8C73-91114A085E1C}"/>
            </c:ext>
          </c:extLst>
        </c:ser>
        <c:dLbls>
          <c:showLegendKey val="0"/>
          <c:showVal val="0"/>
          <c:showCatName val="0"/>
          <c:showSerName val="0"/>
          <c:showPercent val="0"/>
          <c:showBubbleSize val="0"/>
        </c:dLbls>
        <c:gapWidth val="150"/>
        <c:overlap val="100"/>
        <c:axId val="757068168"/>
        <c:axId val="757068496"/>
      </c:barChart>
      <c:catAx>
        <c:axId val="757068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57068496"/>
        <c:crosses val="autoZero"/>
        <c:auto val="1"/>
        <c:lblAlgn val="ctr"/>
        <c:lblOffset val="100"/>
        <c:noMultiLvlLbl val="0"/>
      </c:catAx>
      <c:valAx>
        <c:axId val="7570684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757068168"/>
        <c:crosses val="autoZero"/>
        <c:crossBetween val="between"/>
        <c:dispUnits>
          <c:builtInUnit val="millions"/>
          <c:dispUnitsLbl>
            <c:layout>
              <c:manualLayout>
                <c:xMode val="edge"/>
                <c:yMode val="edge"/>
                <c:x val="4.2320729316436802E-2"/>
                <c:y val="0.11304492048620486"/>
              </c:manualLayout>
            </c:layout>
            <c:spPr>
              <a:noFill/>
              <a:ln>
                <a:noFill/>
              </a:ln>
              <a:effectLst/>
            </c:spPr>
            <c:txPr>
              <a:bodyPr rot="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72094675296903432"/>
          <c:y val="0.32893321123515018"/>
          <c:w val="0.26442061560486757"/>
          <c:h val="0.5047927065744225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90000"/>
        <a:alpha val="2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7810500</xdr:colOff>
          <xdr:row>117</xdr:row>
          <xdr:rowOff>95250</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32657</xdr:colOff>
      <xdr:row>3</xdr:row>
      <xdr:rowOff>34700</xdr:rowOff>
    </xdr:from>
    <xdr:to>
      <xdr:col>2</xdr:col>
      <xdr:colOff>2821577</xdr:colOff>
      <xdr:row>3</xdr:row>
      <xdr:rowOff>2183540</xdr:rowOff>
    </xdr:to>
    <xdr:graphicFrame macro="">
      <xdr:nvGraphicFramePr>
        <xdr:cNvPr id="18" name="Chart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32657</xdr:colOff>
      <xdr:row>4</xdr:row>
      <xdr:rowOff>27064</xdr:rowOff>
    </xdr:from>
    <xdr:to>
      <xdr:col>2</xdr:col>
      <xdr:colOff>2821577</xdr:colOff>
      <xdr:row>4</xdr:row>
      <xdr:rowOff>2175904</xdr:rowOff>
    </xdr:to>
    <xdr:graphicFrame macro="">
      <xdr:nvGraphicFramePr>
        <xdr:cNvPr id="19" name="Chart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32657</xdr:colOff>
      <xdr:row>5</xdr:row>
      <xdr:rowOff>27138</xdr:rowOff>
    </xdr:from>
    <xdr:to>
      <xdr:col>2</xdr:col>
      <xdr:colOff>2821577</xdr:colOff>
      <xdr:row>5</xdr:row>
      <xdr:rowOff>2175978</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23132</xdr:colOff>
      <xdr:row>6</xdr:row>
      <xdr:rowOff>47171</xdr:rowOff>
    </xdr:from>
    <xdr:to>
      <xdr:col>2</xdr:col>
      <xdr:colOff>2812052</xdr:colOff>
      <xdr:row>6</xdr:row>
      <xdr:rowOff>2196011</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40143</xdr:colOff>
      <xdr:row>3</xdr:row>
      <xdr:rowOff>28574</xdr:rowOff>
    </xdr:from>
    <xdr:to>
      <xdr:col>3</xdr:col>
      <xdr:colOff>3697743</xdr:colOff>
      <xdr:row>3</xdr:row>
      <xdr:rowOff>2177414</xdr:rowOff>
    </xdr:to>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30618</xdr:colOff>
      <xdr:row>4</xdr:row>
      <xdr:rowOff>30451</xdr:rowOff>
    </xdr:from>
    <xdr:to>
      <xdr:col>3</xdr:col>
      <xdr:colOff>3688218</xdr:colOff>
      <xdr:row>4</xdr:row>
      <xdr:rowOff>2179291</xdr:rowOff>
    </xdr:to>
    <xdr:graphicFrame macro="">
      <xdr:nvGraphicFramePr>
        <xdr:cNvPr id="23" name="Chart 22">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30619</xdr:colOff>
      <xdr:row>5</xdr:row>
      <xdr:rowOff>21904</xdr:rowOff>
    </xdr:from>
    <xdr:to>
      <xdr:col>3</xdr:col>
      <xdr:colOff>3688219</xdr:colOff>
      <xdr:row>5</xdr:row>
      <xdr:rowOff>2170744</xdr:rowOff>
    </xdr:to>
    <xdr:graphicFrame macro="">
      <xdr:nvGraphicFramePr>
        <xdr:cNvPr id="24" name="Chart 23">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49668</xdr:colOff>
      <xdr:row>6</xdr:row>
      <xdr:rowOff>43984</xdr:rowOff>
    </xdr:from>
    <xdr:to>
      <xdr:col>3</xdr:col>
      <xdr:colOff>3707268</xdr:colOff>
      <xdr:row>6</xdr:row>
      <xdr:rowOff>2192824</xdr:rowOff>
    </xdr:to>
    <xdr:graphicFrame macro="">
      <xdr:nvGraphicFramePr>
        <xdr:cNvPr id="25" name="Chart 24">
          <a:extLst>
            <a:ext uri="{FF2B5EF4-FFF2-40B4-BE49-F238E27FC236}">
              <a16:creationId xmlns:a16="http://schemas.microsoft.com/office/drawing/2014/main"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xdr:col>
      <xdr:colOff>1678780</xdr:colOff>
      <xdr:row>7</xdr:row>
      <xdr:rowOff>95055</xdr:rowOff>
    </xdr:from>
    <xdr:to>
      <xdr:col>7</xdr:col>
      <xdr:colOff>221991</xdr:colOff>
      <xdr:row>41</xdr:row>
      <xdr:rowOff>95250</xdr:rowOff>
    </xdr:to>
    <xdr:graphicFrame macro="">
      <xdr:nvGraphicFramePr>
        <xdr:cNvPr id="28" name="Chart 27">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666750</xdr:colOff>
      <xdr:row>7</xdr:row>
      <xdr:rowOff>142875</xdr:rowOff>
    </xdr:from>
    <xdr:to>
      <xdr:col>2</xdr:col>
      <xdr:colOff>1619250</xdr:colOff>
      <xdr:row>12</xdr:row>
      <xdr:rowOff>95251</xdr:rowOff>
    </xdr:to>
    <xdr:sp macro="" textlink="">
      <xdr:nvSpPr>
        <xdr:cNvPr id="2" name="Arrow: Bent-Up 1">
          <a:extLst>
            <a:ext uri="{FF2B5EF4-FFF2-40B4-BE49-F238E27FC236}">
              <a16:creationId xmlns:a16="http://schemas.microsoft.com/office/drawing/2014/main" id="{00000000-0008-0000-0200-000002000000}"/>
            </a:ext>
          </a:extLst>
        </xdr:cNvPr>
        <xdr:cNvSpPr/>
      </xdr:nvSpPr>
      <xdr:spPr>
        <a:xfrm rot="5400000">
          <a:off x="2214562" y="10036970"/>
          <a:ext cx="785813" cy="952500"/>
        </a:xfrm>
        <a:prstGeom prst="bentUpArrow">
          <a:avLst/>
        </a:prstGeom>
        <a:gradFill flip="none" rotWithShape="1">
          <a:gsLst>
            <a:gs pos="0">
              <a:schemeClr val="accent2">
                <a:tint val="66000"/>
                <a:satMod val="160000"/>
              </a:schemeClr>
            </a:gs>
            <a:gs pos="50000">
              <a:schemeClr val="accent2">
                <a:tint val="44500"/>
                <a:satMod val="160000"/>
              </a:schemeClr>
            </a:gs>
            <a:gs pos="100000">
              <a:schemeClr val="accent2">
                <a:tint val="23500"/>
                <a:satMod val="160000"/>
              </a:schemeClr>
            </a:gs>
          </a:gsLst>
          <a:lin ang="10800000" scaled="1"/>
          <a:tileRect/>
        </a:gra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0.15447</cdr:x>
      <cdr:y>0.07864</cdr:y>
    </cdr:from>
    <cdr:to>
      <cdr:x>0.26374</cdr:x>
      <cdr:y>0.27582</cdr:y>
    </cdr:to>
    <cdr:sp macro="" textlink="">
      <cdr:nvSpPr>
        <cdr:cNvPr id="2" name="TextBox 1">
          <a:extLst xmlns:a="http://schemas.openxmlformats.org/drawingml/2006/main">
            <a:ext uri="{FF2B5EF4-FFF2-40B4-BE49-F238E27FC236}">
              <a16:creationId xmlns:a16="http://schemas.microsoft.com/office/drawing/2014/main" id="{C21542E4-2CE3-433B-ADA6-0502AE564956}"/>
            </a:ext>
          </a:extLst>
        </cdr:cNvPr>
        <cdr:cNvSpPr txBox="1"/>
      </cdr:nvSpPr>
      <cdr:spPr>
        <a:xfrm xmlns:a="http://schemas.openxmlformats.org/drawingml/2006/main">
          <a:off x="1292679" y="36467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xml><?xml version="1.0" encoding="utf-8"?>
<c:userShapes xmlns:c="http://schemas.openxmlformats.org/drawingml/2006/chart">
  <cdr:relSizeAnchor xmlns:cdr="http://schemas.openxmlformats.org/drawingml/2006/chartDrawing">
    <cdr:from>
      <cdr:x>0.15447</cdr:x>
      <cdr:y>0.07864</cdr:y>
    </cdr:from>
    <cdr:to>
      <cdr:x>0.26374</cdr:x>
      <cdr:y>0.27582</cdr:y>
    </cdr:to>
    <cdr:sp macro="" textlink="">
      <cdr:nvSpPr>
        <cdr:cNvPr id="2" name="TextBox 1">
          <a:extLst xmlns:a="http://schemas.openxmlformats.org/drawingml/2006/main">
            <a:ext uri="{FF2B5EF4-FFF2-40B4-BE49-F238E27FC236}">
              <a16:creationId xmlns:a16="http://schemas.microsoft.com/office/drawing/2014/main" id="{C21542E4-2CE3-433B-ADA6-0502AE564956}"/>
            </a:ext>
          </a:extLst>
        </cdr:cNvPr>
        <cdr:cNvSpPr txBox="1"/>
      </cdr:nvSpPr>
      <cdr:spPr>
        <a:xfrm xmlns:a="http://schemas.openxmlformats.org/drawingml/2006/main">
          <a:off x="1292679" y="36467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5.xml><?xml version="1.0" encoding="utf-8"?>
<c:userShapes xmlns:c="http://schemas.openxmlformats.org/drawingml/2006/chart">
  <cdr:relSizeAnchor xmlns:cdr="http://schemas.openxmlformats.org/drawingml/2006/chartDrawing">
    <cdr:from>
      <cdr:x>0.15447</cdr:x>
      <cdr:y>0.07864</cdr:y>
    </cdr:from>
    <cdr:to>
      <cdr:x>0.26374</cdr:x>
      <cdr:y>0.27582</cdr:y>
    </cdr:to>
    <cdr:sp macro="" textlink="">
      <cdr:nvSpPr>
        <cdr:cNvPr id="2" name="TextBox 1">
          <a:extLst xmlns:a="http://schemas.openxmlformats.org/drawingml/2006/main">
            <a:ext uri="{FF2B5EF4-FFF2-40B4-BE49-F238E27FC236}">
              <a16:creationId xmlns:a16="http://schemas.microsoft.com/office/drawing/2014/main" id="{C21542E4-2CE3-433B-ADA6-0502AE564956}"/>
            </a:ext>
          </a:extLst>
        </cdr:cNvPr>
        <cdr:cNvSpPr txBox="1"/>
      </cdr:nvSpPr>
      <cdr:spPr>
        <a:xfrm xmlns:a="http://schemas.openxmlformats.org/drawingml/2006/main">
          <a:off x="1292679" y="36467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6.xml><?xml version="1.0" encoding="utf-8"?>
<c:userShapes xmlns:c="http://schemas.openxmlformats.org/drawingml/2006/chart">
  <cdr:relSizeAnchor xmlns:cdr="http://schemas.openxmlformats.org/drawingml/2006/chartDrawing">
    <cdr:from>
      <cdr:x>0.15447</cdr:x>
      <cdr:y>0.07864</cdr:y>
    </cdr:from>
    <cdr:to>
      <cdr:x>0.26374</cdr:x>
      <cdr:y>0.27582</cdr:y>
    </cdr:to>
    <cdr:sp macro="" textlink="">
      <cdr:nvSpPr>
        <cdr:cNvPr id="2" name="TextBox 1">
          <a:extLst xmlns:a="http://schemas.openxmlformats.org/drawingml/2006/main">
            <a:ext uri="{FF2B5EF4-FFF2-40B4-BE49-F238E27FC236}">
              <a16:creationId xmlns:a16="http://schemas.microsoft.com/office/drawing/2014/main" id="{C21542E4-2CE3-433B-ADA6-0502AE564956}"/>
            </a:ext>
          </a:extLst>
        </cdr:cNvPr>
        <cdr:cNvSpPr txBox="1"/>
      </cdr:nvSpPr>
      <cdr:spPr>
        <a:xfrm xmlns:a="http://schemas.openxmlformats.org/drawingml/2006/main">
          <a:off x="1292679" y="36467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externalLinks/_rels/externalLink1.xml.rels><?xml version="1.0" encoding="UTF-8" standalone="yes"?>
<Relationships xmlns="http://schemas.openxmlformats.org/package/2006/relationships"><Relationship Id="rId2" Type="http://schemas.microsoft.com/office/2019/04/relationships/externalLinkLongPath" Target="/C:/C:/C:/C:/C:/C:/C:/C:/C:/C:/C:/C:/C:/env-fp-salt01.env.govt.state.ma.us/ENEUsers/mjudge/Application%20Data/Microsoft/Excel/Documents%20and%20Settings/Lisa/My%20Documents/Downloads/PV%20Detail%20Form%20with%20PTS%20data%20-%20srectrade%20-%205-9-11.xls?6C508BCB" TargetMode="External"/><Relationship Id="rId1" Type="http://schemas.openxmlformats.org/officeDocument/2006/relationships/externalLinkPath" Target="file:///\\6C508BCB\PV%20Detail%20Form%20with%20PTS%20data%20-%20srectrade%20-%205-9-11.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C:/C:/C:/C:/C:/C:/C:/C:/C:/C:/C:/C:/C:/env-fp-salt01.env.govt.state.ma.us/Documents%20and%20Settings/nhowlett/Local%20Settings/Temporary%20Internet%20Files/Content.Outlook/EZ1D14J8/SQA%20pv-proj-detail-form%20for%20Stephen%20Fields.xls?D0A1F889" TargetMode="External"/><Relationship Id="rId1" Type="http://schemas.openxmlformats.org/officeDocument/2006/relationships/externalLinkPath" Target="file:///\\D0A1F889\SQA%20pv-proj-detail-form%20for%20Stephen%20Field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C:/C:/C:/C:/C:/C:/C:/C:/C:/C:/C:/C:/Tm-AltTech/RPS%20Review/PV%20Project%20Detail%20Forms/2011/11044_ConEd%20New%20Bedf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s"/>
      <sheetName val="Drop-Down Lists"/>
      <sheetName val="macro notification"/>
    </sheetNames>
    <sheetDataSet>
      <sheetData sheetId="0" refreshError="1"/>
      <sheetData sheetId="1">
        <row r="6">
          <cell r="C6" t="str">
            <v>yes</v>
          </cell>
          <cell r="G6" t="str">
            <v>system owner</v>
          </cell>
          <cell r="K6" t="str">
            <v>system owner</v>
          </cell>
        </row>
        <row r="7">
          <cell r="G7" t="str">
            <v>Clean Asset Partners</v>
          </cell>
          <cell r="K7" t="str">
            <v>Alternate Energy Systems</v>
          </cell>
        </row>
        <row r="8">
          <cell r="G8" t="str">
            <v>Energy New England</v>
          </cell>
          <cell r="K8" t="str">
            <v>Alternate Energy, Inc.</v>
          </cell>
        </row>
        <row r="9">
          <cell r="G9" t="str">
            <v xml:space="preserve">Flett Exchange, LLC </v>
          </cell>
          <cell r="K9" t="str">
            <v>Ameresco</v>
          </cell>
        </row>
        <row r="10">
          <cell r="G10" t="str">
            <v>Knollwood Energy, LLC</v>
          </cell>
          <cell r="K10" t="str">
            <v>Automated Building Systems, Inc.</v>
          </cell>
        </row>
        <row r="11">
          <cell r="G11" t="str">
            <v>MMWEC</v>
          </cell>
          <cell r="K11" t="str">
            <v>CDH Energy Corporation</v>
          </cell>
        </row>
        <row r="12">
          <cell r="G12" t="str">
            <v>Nexant Clean Energy Markets</v>
          </cell>
          <cell r="K12" t="str">
            <v>Clean Energy Design</v>
          </cell>
        </row>
        <row r="13">
          <cell r="G13" t="str">
            <v>Solar Farm Bank LLC</v>
          </cell>
          <cell r="K13" t="str">
            <v>CSG</v>
          </cell>
        </row>
        <row r="14">
          <cell r="G14" t="str">
            <v>Sol Systems</v>
          </cell>
          <cell r="K14" t="str">
            <v>DECK Monitoring</v>
          </cell>
        </row>
        <row r="15">
          <cell r="G15" t="str">
            <v>SRECTrade</v>
          </cell>
          <cell r="K15" t="str">
            <v>Fatspaniel.com</v>
          </cell>
        </row>
        <row r="16">
          <cell r="G16" t="str">
            <v>SunDial LLC</v>
          </cell>
          <cell r="K16" t="str">
            <v>Heliotronics</v>
          </cell>
        </row>
        <row r="17">
          <cell r="G17" t="str">
            <v>Tecta America New England, LLC</v>
          </cell>
          <cell r="K17" t="str">
            <v>Locus Energy</v>
          </cell>
        </row>
        <row r="18">
          <cell r="G18" t="str">
            <v>Turning Mill Energy, LLC</v>
          </cell>
          <cell r="K18" t="str">
            <v>PowerDash LLC</v>
          </cell>
        </row>
        <row r="19">
          <cell r="G19" t="str">
            <v>other</v>
          </cell>
          <cell r="K19" t="str">
            <v>Solar Design Associates</v>
          </cell>
        </row>
        <row r="20">
          <cell r="K20" t="str">
            <v>Solar Works, Inc.</v>
          </cell>
        </row>
        <row r="21">
          <cell r="K21" t="str">
            <v>SolarOne Solutions</v>
          </cell>
        </row>
        <row r="22">
          <cell r="K22" t="str">
            <v>Solectria</v>
          </cell>
        </row>
        <row r="23">
          <cell r="K23" t="str">
            <v>SRECTrade</v>
          </cell>
        </row>
        <row r="24">
          <cell r="K24" t="str">
            <v>SunRun Inc.</v>
          </cell>
        </row>
        <row r="25">
          <cell r="K25" t="str">
            <v>other</v>
          </cell>
        </row>
      </sheetData>
      <sheetData sheetId="2">
        <row r="2">
          <cell r="A2" t="str">
            <v>Residential (3 or fewer dwelling units per building)</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efinitions"/>
      <sheetName val="PV Project Form"/>
      <sheetName val="Drop-Down Lists"/>
    </sheetNames>
    <sheetDataSet>
      <sheetData sheetId="0"/>
      <sheetData sheetId="1"/>
      <sheetData sheetId="2">
        <row r="2">
          <cell r="A2" t="str">
            <v>Residential (3 of fewer dwelling units per building)</v>
          </cell>
          <cell r="B2" t="str">
            <v>Fixed</v>
          </cell>
          <cell r="C2">
            <v>90</v>
          </cell>
          <cell r="D2">
            <v>0</v>
          </cell>
          <cell r="E2" t="str">
            <v>AL</v>
          </cell>
          <cell r="F2" t="str">
            <v>Abington</v>
          </cell>
          <cell r="G2" t="str">
            <v>National Grid</v>
          </cell>
          <cell r="H2" t="str">
            <v>Massachusetts Clean Energy Center (CEC)</v>
          </cell>
        </row>
        <row r="3">
          <cell r="A3" t="str">
            <v>Multi-family residential (4 or more dwelling units per building)</v>
          </cell>
          <cell r="B3" t="str">
            <v xml:space="preserve">Single Axis </v>
          </cell>
          <cell r="C3">
            <v>91</v>
          </cell>
          <cell r="D3">
            <v>1</v>
          </cell>
          <cell r="E3" t="str">
            <v>AK</v>
          </cell>
          <cell r="F3" t="str">
            <v>Acton</v>
          </cell>
          <cell r="G3" t="str">
            <v>NSTAR</v>
          </cell>
        </row>
        <row r="4">
          <cell r="A4" t="str">
            <v>Mixed use (commercial &amp; residential)</v>
          </cell>
          <cell r="B4" t="str">
            <v>Dual Axis</v>
          </cell>
          <cell r="C4">
            <v>92</v>
          </cell>
          <cell r="D4">
            <v>2</v>
          </cell>
          <cell r="E4" t="str">
            <v>AZ</v>
          </cell>
          <cell r="F4" t="str">
            <v>Acushnet</v>
          </cell>
          <cell r="G4" t="str">
            <v>Unitil (Fitchburg Gas &amp; Electric)</v>
          </cell>
        </row>
        <row r="5">
          <cell r="A5" t="str">
            <v>Retail</v>
          </cell>
          <cell r="C5">
            <v>93</v>
          </cell>
          <cell r="D5">
            <v>3</v>
          </cell>
          <cell r="E5" t="str">
            <v>AR</v>
          </cell>
          <cell r="F5" t="str">
            <v>Adams</v>
          </cell>
          <cell r="G5" t="str">
            <v>Western Massachusetts Electric Company</v>
          </cell>
        </row>
        <row r="6">
          <cell r="A6" t="str">
            <v>Restaurant / Food Service</v>
          </cell>
          <cell r="C6">
            <v>94</v>
          </cell>
          <cell r="D6">
            <v>4</v>
          </cell>
          <cell r="E6" t="str">
            <v>CA</v>
          </cell>
          <cell r="F6" t="str">
            <v>Agawam</v>
          </cell>
          <cell r="G6" t="str">
            <v>Municipal Light Plant</v>
          </cell>
        </row>
        <row r="7">
          <cell r="A7" t="str">
            <v>Commercial / Office</v>
          </cell>
          <cell r="C7">
            <v>95</v>
          </cell>
          <cell r="D7">
            <v>5</v>
          </cell>
          <cell r="E7" t="str">
            <v>CO</v>
          </cell>
          <cell r="F7" t="str">
            <v>Alford</v>
          </cell>
        </row>
        <row r="8">
          <cell r="A8" t="str">
            <v>Industrial</v>
          </cell>
          <cell r="C8">
            <v>96</v>
          </cell>
          <cell r="D8">
            <v>6</v>
          </cell>
          <cell r="E8" t="str">
            <v>CT</v>
          </cell>
          <cell r="F8" t="str">
            <v>Amesbury</v>
          </cell>
        </row>
        <row r="9">
          <cell r="A9" t="str">
            <v>Municipal / Government / Public</v>
          </cell>
          <cell r="C9">
            <v>97</v>
          </cell>
          <cell r="D9">
            <v>7</v>
          </cell>
          <cell r="E9" t="str">
            <v>DE</v>
          </cell>
          <cell r="F9" t="str">
            <v>Amherst</v>
          </cell>
        </row>
        <row r="10">
          <cell r="A10" t="str">
            <v>Religious</v>
          </cell>
          <cell r="C10">
            <v>98</v>
          </cell>
          <cell r="D10">
            <v>8</v>
          </cell>
          <cell r="E10" t="str">
            <v>FL</v>
          </cell>
          <cell r="F10" t="str">
            <v>Andover</v>
          </cell>
        </row>
        <row r="11">
          <cell r="A11" t="str">
            <v>School (K-12)</v>
          </cell>
          <cell r="C11">
            <v>99</v>
          </cell>
          <cell r="D11">
            <v>9</v>
          </cell>
          <cell r="E11" t="str">
            <v>GA</v>
          </cell>
          <cell r="F11" t="str">
            <v>Aquinnah</v>
          </cell>
        </row>
        <row r="12">
          <cell r="A12" t="str">
            <v>College / University</v>
          </cell>
          <cell r="C12">
            <v>100</v>
          </cell>
          <cell r="D12">
            <v>10</v>
          </cell>
          <cell r="E12" t="str">
            <v>HI</v>
          </cell>
          <cell r="F12" t="str">
            <v>Arlington</v>
          </cell>
        </row>
        <row r="13">
          <cell r="A13" t="str">
            <v>Hospital / Health Care</v>
          </cell>
          <cell r="C13">
            <v>101</v>
          </cell>
          <cell r="D13">
            <v>11</v>
          </cell>
          <cell r="E13" t="str">
            <v>ID</v>
          </cell>
          <cell r="F13" t="str">
            <v>Ashburnham</v>
          </cell>
        </row>
        <row r="14">
          <cell r="A14" t="str">
            <v>Agricultural</v>
          </cell>
          <cell r="C14">
            <v>102</v>
          </cell>
          <cell r="D14">
            <v>12</v>
          </cell>
          <cell r="E14" t="str">
            <v>IL</v>
          </cell>
          <cell r="F14" t="str">
            <v>Ashby</v>
          </cell>
        </row>
        <row r="15">
          <cell r="A15" t="str">
            <v>Other</v>
          </cell>
          <cell r="C15">
            <v>103</v>
          </cell>
          <cell r="D15">
            <v>13</v>
          </cell>
          <cell r="E15" t="str">
            <v>IN</v>
          </cell>
          <cell r="F15" t="str">
            <v>Ashfield</v>
          </cell>
        </row>
        <row r="16">
          <cell r="C16">
            <v>104</v>
          </cell>
          <cell r="D16">
            <v>14</v>
          </cell>
          <cell r="E16" t="str">
            <v>IA</v>
          </cell>
          <cell r="F16" t="str">
            <v>Ashland</v>
          </cell>
        </row>
        <row r="17">
          <cell r="C17">
            <v>105</v>
          </cell>
          <cell r="D17">
            <v>15</v>
          </cell>
          <cell r="E17" t="str">
            <v>KS</v>
          </cell>
          <cell r="F17" t="str">
            <v>Athol</v>
          </cell>
        </row>
        <row r="18">
          <cell r="C18">
            <v>106</v>
          </cell>
          <cell r="D18">
            <v>16</v>
          </cell>
          <cell r="E18" t="str">
            <v>KY</v>
          </cell>
          <cell r="F18" t="str">
            <v>Attleboro</v>
          </cell>
        </row>
        <row r="19">
          <cell r="C19">
            <v>107</v>
          </cell>
          <cell r="D19">
            <v>17</v>
          </cell>
          <cell r="E19" t="str">
            <v>LA</v>
          </cell>
          <cell r="F19" t="str">
            <v>Auburn</v>
          </cell>
        </row>
        <row r="20">
          <cell r="C20">
            <v>108</v>
          </cell>
          <cell r="D20">
            <v>18</v>
          </cell>
          <cell r="E20" t="str">
            <v>ME</v>
          </cell>
          <cell r="F20" t="str">
            <v>Avon</v>
          </cell>
        </row>
        <row r="21">
          <cell r="C21">
            <v>109</v>
          </cell>
          <cell r="D21">
            <v>19</v>
          </cell>
          <cell r="E21" t="str">
            <v>MD</v>
          </cell>
          <cell r="F21" t="str">
            <v>Ayer</v>
          </cell>
        </row>
        <row r="22">
          <cell r="C22">
            <v>110</v>
          </cell>
          <cell r="D22">
            <v>20</v>
          </cell>
          <cell r="E22" t="str">
            <v>MA</v>
          </cell>
          <cell r="F22" t="str">
            <v>Barnstable</v>
          </cell>
        </row>
        <row r="23">
          <cell r="C23">
            <v>111</v>
          </cell>
          <cell r="D23">
            <v>21</v>
          </cell>
          <cell r="E23" t="str">
            <v>MI</v>
          </cell>
          <cell r="F23" t="str">
            <v>Barre</v>
          </cell>
        </row>
        <row r="24">
          <cell r="C24">
            <v>112</v>
          </cell>
          <cell r="D24">
            <v>22</v>
          </cell>
          <cell r="E24" t="str">
            <v>MN</v>
          </cell>
          <cell r="F24" t="str">
            <v>Becket</v>
          </cell>
        </row>
        <row r="25">
          <cell r="C25">
            <v>113</v>
          </cell>
          <cell r="D25">
            <v>23</v>
          </cell>
          <cell r="E25" t="str">
            <v>MS</v>
          </cell>
          <cell r="F25" t="str">
            <v>Bedford</v>
          </cell>
        </row>
        <row r="26">
          <cell r="C26">
            <v>114</v>
          </cell>
          <cell r="D26">
            <v>24</v>
          </cell>
          <cell r="E26" t="str">
            <v>MO</v>
          </cell>
          <cell r="F26" t="str">
            <v>Belchertown</v>
          </cell>
        </row>
        <row r="27">
          <cell r="C27">
            <v>115</v>
          </cell>
          <cell r="D27">
            <v>25</v>
          </cell>
          <cell r="E27" t="str">
            <v>MT</v>
          </cell>
          <cell r="F27" t="str">
            <v>Bellingham</v>
          </cell>
        </row>
        <row r="28">
          <cell r="C28">
            <v>116</v>
          </cell>
          <cell r="D28">
            <v>26</v>
          </cell>
          <cell r="E28" t="str">
            <v>NE</v>
          </cell>
          <cell r="F28" t="str">
            <v>Belmont</v>
          </cell>
        </row>
        <row r="29">
          <cell r="C29">
            <v>117</v>
          </cell>
          <cell r="D29">
            <v>27</v>
          </cell>
          <cell r="E29" t="str">
            <v>NV</v>
          </cell>
          <cell r="F29" t="str">
            <v>Berkley</v>
          </cell>
        </row>
        <row r="30">
          <cell r="C30">
            <v>118</v>
          </cell>
          <cell r="D30">
            <v>28</v>
          </cell>
          <cell r="E30" t="str">
            <v>NH</v>
          </cell>
          <cell r="F30" t="str">
            <v>Berlin</v>
          </cell>
        </row>
        <row r="31">
          <cell r="C31">
            <v>119</v>
          </cell>
          <cell r="D31">
            <v>29</v>
          </cell>
          <cell r="E31" t="str">
            <v>NJ</v>
          </cell>
          <cell r="F31" t="str">
            <v>Bernardston</v>
          </cell>
        </row>
        <row r="32">
          <cell r="C32">
            <v>120</v>
          </cell>
          <cell r="D32">
            <v>30</v>
          </cell>
          <cell r="E32" t="str">
            <v>NM</v>
          </cell>
          <cell r="F32" t="str">
            <v>Beverly</v>
          </cell>
        </row>
        <row r="33">
          <cell r="C33">
            <v>121</v>
          </cell>
          <cell r="D33">
            <v>31</v>
          </cell>
          <cell r="E33" t="str">
            <v>NY</v>
          </cell>
          <cell r="F33" t="str">
            <v>Billerica</v>
          </cell>
        </row>
        <row r="34">
          <cell r="C34">
            <v>122</v>
          </cell>
          <cell r="D34">
            <v>32</v>
          </cell>
          <cell r="E34" t="str">
            <v>NC</v>
          </cell>
          <cell r="F34" t="str">
            <v>Blackstone</v>
          </cell>
        </row>
        <row r="35">
          <cell r="C35">
            <v>123</v>
          </cell>
          <cell r="D35">
            <v>33</v>
          </cell>
          <cell r="E35" t="str">
            <v>ND</v>
          </cell>
          <cell r="F35" t="str">
            <v>Blandford</v>
          </cell>
        </row>
        <row r="36">
          <cell r="C36">
            <v>124</v>
          </cell>
          <cell r="D36">
            <v>34</v>
          </cell>
          <cell r="E36" t="str">
            <v>OH</v>
          </cell>
          <cell r="F36" t="str">
            <v>Bolton</v>
          </cell>
        </row>
        <row r="37">
          <cell r="C37">
            <v>125</v>
          </cell>
          <cell r="D37">
            <v>35</v>
          </cell>
          <cell r="E37" t="str">
            <v>OK</v>
          </cell>
          <cell r="F37" t="str">
            <v>Boston</v>
          </cell>
        </row>
        <row r="38">
          <cell r="C38">
            <v>126</v>
          </cell>
          <cell r="D38">
            <v>36</v>
          </cell>
          <cell r="E38" t="str">
            <v>OR</v>
          </cell>
          <cell r="F38" t="str">
            <v>Bourne</v>
          </cell>
        </row>
        <row r="39">
          <cell r="C39">
            <v>127</v>
          </cell>
          <cell r="D39">
            <v>37</v>
          </cell>
          <cell r="E39" t="str">
            <v>PA</v>
          </cell>
          <cell r="F39" t="str">
            <v>Boxborough</v>
          </cell>
        </row>
        <row r="40">
          <cell r="C40">
            <v>128</v>
          </cell>
          <cell r="D40">
            <v>38</v>
          </cell>
          <cell r="E40" t="str">
            <v>RI</v>
          </cell>
          <cell r="F40" t="str">
            <v>Boxford</v>
          </cell>
        </row>
        <row r="41">
          <cell r="C41">
            <v>129</v>
          </cell>
          <cell r="D41">
            <v>39</v>
          </cell>
          <cell r="E41" t="str">
            <v>SC</v>
          </cell>
          <cell r="F41" t="str">
            <v>Boylston</v>
          </cell>
        </row>
        <row r="42">
          <cell r="C42">
            <v>130</v>
          </cell>
          <cell r="D42">
            <v>40</v>
          </cell>
          <cell r="E42" t="str">
            <v>SD</v>
          </cell>
          <cell r="F42" t="str">
            <v>Braintree</v>
          </cell>
        </row>
        <row r="43">
          <cell r="C43">
            <v>131</v>
          </cell>
          <cell r="D43">
            <v>41</v>
          </cell>
          <cell r="E43" t="str">
            <v>TN</v>
          </cell>
          <cell r="F43" t="str">
            <v>Brewster</v>
          </cell>
        </row>
        <row r="44">
          <cell r="C44">
            <v>132</v>
          </cell>
          <cell r="D44">
            <v>42</v>
          </cell>
          <cell r="E44" t="str">
            <v>TX</v>
          </cell>
          <cell r="F44" t="str">
            <v>Bridgewater</v>
          </cell>
        </row>
        <row r="45">
          <cell r="C45">
            <v>133</v>
          </cell>
          <cell r="D45">
            <v>43</v>
          </cell>
          <cell r="E45" t="str">
            <v>UT</v>
          </cell>
          <cell r="F45" t="str">
            <v>Brimfield</v>
          </cell>
        </row>
        <row r="46">
          <cell r="C46">
            <v>134</v>
          </cell>
          <cell r="D46">
            <v>44</v>
          </cell>
          <cell r="E46" t="str">
            <v>VT</v>
          </cell>
          <cell r="F46" t="str">
            <v>Brockton</v>
          </cell>
        </row>
        <row r="47">
          <cell r="C47">
            <v>135</v>
          </cell>
          <cell r="D47">
            <v>45</v>
          </cell>
          <cell r="E47" t="str">
            <v>VA</v>
          </cell>
          <cell r="F47" t="str">
            <v>Brookfield</v>
          </cell>
        </row>
        <row r="48">
          <cell r="C48">
            <v>136</v>
          </cell>
          <cell r="D48">
            <v>46</v>
          </cell>
          <cell r="E48" t="str">
            <v>WA</v>
          </cell>
          <cell r="F48" t="str">
            <v>Brookline</v>
          </cell>
        </row>
        <row r="49">
          <cell r="C49">
            <v>137</v>
          </cell>
          <cell r="D49">
            <v>47</v>
          </cell>
          <cell r="E49" t="str">
            <v>WV</v>
          </cell>
          <cell r="F49" t="str">
            <v>Buckland</v>
          </cell>
        </row>
        <row r="50">
          <cell r="C50">
            <v>138</v>
          </cell>
          <cell r="D50">
            <v>48</v>
          </cell>
          <cell r="E50" t="str">
            <v>WI</v>
          </cell>
          <cell r="F50" t="str">
            <v>Burlington</v>
          </cell>
        </row>
        <row r="51">
          <cell r="C51">
            <v>139</v>
          </cell>
          <cell r="D51">
            <v>49</v>
          </cell>
          <cell r="E51" t="str">
            <v>WY</v>
          </cell>
          <cell r="F51" t="str">
            <v>Cambridge</v>
          </cell>
        </row>
        <row r="52">
          <cell r="C52">
            <v>140</v>
          </cell>
          <cell r="D52">
            <v>50</v>
          </cell>
          <cell r="F52" t="str">
            <v>Canton</v>
          </cell>
        </row>
        <row r="53">
          <cell r="C53">
            <v>141</v>
          </cell>
          <cell r="D53">
            <v>51</v>
          </cell>
          <cell r="F53" t="str">
            <v>Carlisle</v>
          </cell>
        </row>
        <row r="54">
          <cell r="C54">
            <v>142</v>
          </cell>
          <cell r="D54">
            <v>52</v>
          </cell>
          <cell r="F54" t="str">
            <v>Carver</v>
          </cell>
        </row>
        <row r="55">
          <cell r="C55">
            <v>143</v>
          </cell>
          <cell r="D55">
            <v>53</v>
          </cell>
          <cell r="F55" t="str">
            <v>Charlemont</v>
          </cell>
        </row>
        <row r="56">
          <cell r="C56">
            <v>144</v>
          </cell>
          <cell r="D56">
            <v>54</v>
          </cell>
          <cell r="F56" t="str">
            <v>Charlton</v>
          </cell>
        </row>
        <row r="57">
          <cell r="C57">
            <v>145</v>
          </cell>
          <cell r="D57">
            <v>55</v>
          </cell>
          <cell r="F57" t="str">
            <v>Chatham</v>
          </cell>
        </row>
        <row r="58">
          <cell r="C58">
            <v>146</v>
          </cell>
          <cell r="D58">
            <v>56</v>
          </cell>
          <cell r="F58" t="str">
            <v>Chelmsford</v>
          </cell>
        </row>
        <row r="59">
          <cell r="C59">
            <v>147</v>
          </cell>
          <cell r="D59">
            <v>57</v>
          </cell>
          <cell r="F59" t="str">
            <v>Chelsea</v>
          </cell>
        </row>
        <row r="60">
          <cell r="C60">
            <v>148</v>
          </cell>
          <cell r="D60">
            <v>58</v>
          </cell>
          <cell r="F60" t="str">
            <v>Cheshire</v>
          </cell>
        </row>
        <row r="61">
          <cell r="C61">
            <v>149</v>
          </cell>
          <cell r="D61">
            <v>59</v>
          </cell>
          <cell r="F61" t="str">
            <v>Chester</v>
          </cell>
        </row>
        <row r="62">
          <cell r="C62">
            <v>150</v>
          </cell>
          <cell r="D62">
            <v>60</v>
          </cell>
          <cell r="F62" t="str">
            <v>Chesterfield</v>
          </cell>
        </row>
        <row r="63">
          <cell r="C63">
            <v>151</v>
          </cell>
          <cell r="D63">
            <v>61</v>
          </cell>
          <cell r="F63" t="str">
            <v>Chicopee</v>
          </cell>
        </row>
        <row r="64">
          <cell r="C64">
            <v>152</v>
          </cell>
          <cell r="D64">
            <v>62</v>
          </cell>
          <cell r="F64" t="str">
            <v>Chilmark</v>
          </cell>
        </row>
        <row r="65">
          <cell r="C65">
            <v>153</v>
          </cell>
          <cell r="D65">
            <v>63</v>
          </cell>
          <cell r="F65" t="str">
            <v>Clarksburg</v>
          </cell>
        </row>
        <row r="66">
          <cell r="C66">
            <v>154</v>
          </cell>
          <cell r="D66">
            <v>64</v>
          </cell>
          <cell r="F66" t="str">
            <v>Clinton</v>
          </cell>
        </row>
        <row r="67">
          <cell r="C67">
            <v>155</v>
          </cell>
          <cell r="D67">
            <v>65</v>
          </cell>
          <cell r="F67" t="str">
            <v>Cohasset</v>
          </cell>
        </row>
        <row r="68">
          <cell r="C68">
            <v>156</v>
          </cell>
          <cell r="D68">
            <v>66</v>
          </cell>
          <cell r="F68" t="str">
            <v>Colrain</v>
          </cell>
        </row>
        <row r="69">
          <cell r="C69">
            <v>157</v>
          </cell>
          <cell r="D69">
            <v>67</v>
          </cell>
          <cell r="F69" t="str">
            <v>Concord</v>
          </cell>
        </row>
        <row r="70">
          <cell r="C70">
            <v>158</v>
          </cell>
          <cell r="D70">
            <v>68</v>
          </cell>
          <cell r="F70" t="str">
            <v>Conway</v>
          </cell>
        </row>
        <row r="71">
          <cell r="C71">
            <v>159</v>
          </cell>
          <cell r="D71">
            <v>69</v>
          </cell>
          <cell r="F71" t="str">
            <v>Cummington</v>
          </cell>
        </row>
        <row r="72">
          <cell r="C72">
            <v>160</v>
          </cell>
          <cell r="D72">
            <v>70</v>
          </cell>
          <cell r="F72" t="str">
            <v>Dalton</v>
          </cell>
        </row>
        <row r="73">
          <cell r="C73">
            <v>161</v>
          </cell>
          <cell r="D73">
            <v>71</v>
          </cell>
          <cell r="F73" t="str">
            <v>Danvers</v>
          </cell>
        </row>
        <row r="74">
          <cell r="C74">
            <v>162</v>
          </cell>
          <cell r="D74">
            <v>72</v>
          </cell>
          <cell r="F74" t="str">
            <v>Dartmouth</v>
          </cell>
        </row>
        <row r="75">
          <cell r="C75">
            <v>163</v>
          </cell>
          <cell r="D75">
            <v>73</v>
          </cell>
          <cell r="F75" t="str">
            <v>Dedham</v>
          </cell>
        </row>
        <row r="76">
          <cell r="C76">
            <v>164</v>
          </cell>
          <cell r="D76">
            <v>74</v>
          </cell>
          <cell r="F76" t="str">
            <v>Deerfield</v>
          </cell>
        </row>
        <row r="77">
          <cell r="C77">
            <v>165</v>
          </cell>
          <cell r="D77">
            <v>75</v>
          </cell>
          <cell r="F77" t="str">
            <v>Dennis</v>
          </cell>
        </row>
        <row r="78">
          <cell r="C78">
            <v>166</v>
          </cell>
          <cell r="D78">
            <v>76</v>
          </cell>
          <cell r="F78" t="str">
            <v>Dighton</v>
          </cell>
        </row>
        <row r="79">
          <cell r="C79">
            <v>167</v>
          </cell>
          <cell r="D79">
            <v>77</v>
          </cell>
          <cell r="F79" t="str">
            <v>Douglas</v>
          </cell>
        </row>
        <row r="80">
          <cell r="C80">
            <v>168</v>
          </cell>
          <cell r="D80">
            <v>78</v>
          </cell>
          <cell r="F80" t="str">
            <v>Dover</v>
          </cell>
        </row>
        <row r="81">
          <cell r="C81">
            <v>169</v>
          </cell>
          <cell r="D81">
            <v>79</v>
          </cell>
          <cell r="F81" t="str">
            <v>Dracut</v>
          </cell>
        </row>
        <row r="82">
          <cell r="C82">
            <v>170</v>
          </cell>
          <cell r="D82">
            <v>80</v>
          </cell>
          <cell r="F82" t="str">
            <v>Dudley</v>
          </cell>
        </row>
        <row r="83">
          <cell r="C83">
            <v>171</v>
          </cell>
          <cell r="D83">
            <v>81</v>
          </cell>
          <cell r="F83" t="str">
            <v>Dunstable</v>
          </cell>
        </row>
        <row r="84">
          <cell r="C84">
            <v>172</v>
          </cell>
          <cell r="D84">
            <v>82</v>
          </cell>
          <cell r="F84" t="str">
            <v>Duxbury</v>
          </cell>
        </row>
        <row r="85">
          <cell r="C85">
            <v>173</v>
          </cell>
          <cell r="D85">
            <v>83</v>
          </cell>
          <cell r="F85" t="str">
            <v>East Bridgewater</v>
          </cell>
        </row>
        <row r="86">
          <cell r="C86">
            <v>174</v>
          </cell>
          <cell r="D86">
            <v>84</v>
          </cell>
          <cell r="F86" t="str">
            <v>East Brookfield</v>
          </cell>
        </row>
        <row r="87">
          <cell r="C87">
            <v>175</v>
          </cell>
          <cell r="D87">
            <v>85</v>
          </cell>
          <cell r="F87" t="str">
            <v>East Longmeadow</v>
          </cell>
        </row>
        <row r="88">
          <cell r="C88">
            <v>176</v>
          </cell>
          <cell r="D88">
            <v>86</v>
          </cell>
          <cell r="F88" t="str">
            <v>Eastham</v>
          </cell>
        </row>
        <row r="89">
          <cell r="C89">
            <v>177</v>
          </cell>
          <cell r="D89">
            <v>87</v>
          </cell>
          <cell r="F89" t="str">
            <v>Easthampton</v>
          </cell>
        </row>
        <row r="90">
          <cell r="C90">
            <v>178</v>
          </cell>
          <cell r="D90">
            <v>88</v>
          </cell>
          <cell r="F90" t="str">
            <v>Easton</v>
          </cell>
        </row>
        <row r="91">
          <cell r="C91">
            <v>179</v>
          </cell>
          <cell r="D91">
            <v>89</v>
          </cell>
          <cell r="F91" t="str">
            <v>Edgartown</v>
          </cell>
        </row>
        <row r="92">
          <cell r="C92">
            <v>180</v>
          </cell>
          <cell r="D92">
            <v>90</v>
          </cell>
          <cell r="F92" t="str">
            <v>Egremont</v>
          </cell>
        </row>
        <row r="93">
          <cell r="C93">
            <v>181</v>
          </cell>
          <cell r="F93" t="str">
            <v>Erving</v>
          </cell>
        </row>
        <row r="94">
          <cell r="C94">
            <v>182</v>
          </cell>
          <cell r="F94" t="str">
            <v>Essex</v>
          </cell>
        </row>
        <row r="95">
          <cell r="C95">
            <v>183</v>
          </cell>
          <cell r="F95" t="str">
            <v>Everett</v>
          </cell>
        </row>
        <row r="96">
          <cell r="C96">
            <v>184</v>
          </cell>
          <cell r="F96" t="str">
            <v>Fairhaven</v>
          </cell>
        </row>
        <row r="97">
          <cell r="C97">
            <v>185</v>
          </cell>
          <cell r="F97" t="str">
            <v>Fall River</v>
          </cell>
        </row>
        <row r="98">
          <cell r="C98">
            <v>186</v>
          </cell>
          <cell r="F98" t="str">
            <v>Falmouth</v>
          </cell>
        </row>
        <row r="99">
          <cell r="C99">
            <v>187</v>
          </cell>
          <cell r="F99" t="str">
            <v>Fitchburg</v>
          </cell>
        </row>
        <row r="100">
          <cell r="C100">
            <v>188</v>
          </cell>
          <cell r="F100" t="str">
            <v>Florida</v>
          </cell>
        </row>
        <row r="101">
          <cell r="C101">
            <v>189</v>
          </cell>
          <cell r="F101" t="str">
            <v>Foxborough</v>
          </cell>
        </row>
        <row r="102">
          <cell r="C102">
            <v>190</v>
          </cell>
          <cell r="F102" t="str">
            <v>Framingham</v>
          </cell>
        </row>
        <row r="103">
          <cell r="C103">
            <v>191</v>
          </cell>
          <cell r="F103" t="str">
            <v>Franklin</v>
          </cell>
        </row>
        <row r="104">
          <cell r="C104">
            <v>192</v>
          </cell>
          <cell r="F104" t="str">
            <v>Freetown</v>
          </cell>
        </row>
        <row r="105">
          <cell r="C105">
            <v>193</v>
          </cell>
          <cell r="F105" t="str">
            <v>Gardner</v>
          </cell>
        </row>
        <row r="106">
          <cell r="C106">
            <v>194</v>
          </cell>
          <cell r="F106" t="str">
            <v>Georgetown</v>
          </cell>
        </row>
        <row r="107">
          <cell r="C107">
            <v>195</v>
          </cell>
          <cell r="F107" t="str">
            <v>Gill</v>
          </cell>
        </row>
        <row r="108">
          <cell r="C108">
            <v>196</v>
          </cell>
          <cell r="F108" t="str">
            <v>Gloucester</v>
          </cell>
        </row>
        <row r="109">
          <cell r="C109">
            <v>197</v>
          </cell>
          <cell r="F109" t="str">
            <v>Goshen</v>
          </cell>
        </row>
        <row r="110">
          <cell r="C110">
            <v>198</v>
          </cell>
          <cell r="F110" t="str">
            <v>Gosnold</v>
          </cell>
        </row>
        <row r="111">
          <cell r="C111">
            <v>199</v>
          </cell>
          <cell r="F111" t="str">
            <v>Grafton</v>
          </cell>
        </row>
        <row r="112">
          <cell r="C112">
            <v>200</v>
          </cell>
          <cell r="F112" t="str">
            <v>Granby</v>
          </cell>
        </row>
        <row r="113">
          <cell r="C113">
            <v>201</v>
          </cell>
          <cell r="F113" t="str">
            <v>Granville</v>
          </cell>
        </row>
        <row r="114">
          <cell r="C114">
            <v>202</v>
          </cell>
          <cell r="F114" t="str">
            <v>Great Barrington</v>
          </cell>
        </row>
        <row r="115">
          <cell r="C115">
            <v>203</v>
          </cell>
          <cell r="F115" t="str">
            <v>Greenfield</v>
          </cell>
        </row>
        <row r="116">
          <cell r="C116">
            <v>204</v>
          </cell>
          <cell r="F116" t="str">
            <v>Groton</v>
          </cell>
        </row>
        <row r="117">
          <cell r="C117">
            <v>205</v>
          </cell>
          <cell r="F117" t="str">
            <v>Groveland</v>
          </cell>
        </row>
        <row r="118">
          <cell r="C118">
            <v>206</v>
          </cell>
          <cell r="F118" t="str">
            <v>Hadley</v>
          </cell>
        </row>
        <row r="119">
          <cell r="C119">
            <v>207</v>
          </cell>
          <cell r="F119" t="str">
            <v>Halifax</v>
          </cell>
        </row>
        <row r="120">
          <cell r="C120">
            <v>208</v>
          </cell>
          <cell r="F120" t="str">
            <v>Hamilton</v>
          </cell>
        </row>
        <row r="121">
          <cell r="C121">
            <v>209</v>
          </cell>
          <cell r="F121" t="str">
            <v>Hampden</v>
          </cell>
        </row>
        <row r="122">
          <cell r="C122">
            <v>210</v>
          </cell>
          <cell r="F122" t="str">
            <v>Hancock</v>
          </cell>
        </row>
        <row r="123">
          <cell r="C123">
            <v>211</v>
          </cell>
          <cell r="F123" t="str">
            <v>Hanover</v>
          </cell>
        </row>
        <row r="124">
          <cell r="C124">
            <v>212</v>
          </cell>
          <cell r="F124" t="str">
            <v>Hanson</v>
          </cell>
        </row>
        <row r="125">
          <cell r="C125">
            <v>213</v>
          </cell>
          <cell r="F125" t="str">
            <v>Hardwick</v>
          </cell>
        </row>
        <row r="126">
          <cell r="C126">
            <v>214</v>
          </cell>
          <cell r="F126" t="str">
            <v>Harvard</v>
          </cell>
        </row>
        <row r="127">
          <cell r="C127">
            <v>215</v>
          </cell>
          <cell r="F127" t="str">
            <v>Harwich</v>
          </cell>
        </row>
        <row r="128">
          <cell r="C128">
            <v>216</v>
          </cell>
          <cell r="F128" t="str">
            <v>Hatfield</v>
          </cell>
        </row>
        <row r="129">
          <cell r="C129">
            <v>217</v>
          </cell>
          <cell r="F129" t="str">
            <v>Haverhill</v>
          </cell>
        </row>
        <row r="130">
          <cell r="C130">
            <v>218</v>
          </cell>
          <cell r="F130" t="str">
            <v>Hawley</v>
          </cell>
        </row>
        <row r="131">
          <cell r="C131">
            <v>219</v>
          </cell>
          <cell r="F131" t="str">
            <v>Heath</v>
          </cell>
        </row>
        <row r="132">
          <cell r="C132">
            <v>220</v>
          </cell>
          <cell r="F132" t="str">
            <v>Hingham</v>
          </cell>
        </row>
        <row r="133">
          <cell r="C133">
            <v>221</v>
          </cell>
          <cell r="F133" t="str">
            <v>Hinsdale</v>
          </cell>
        </row>
        <row r="134">
          <cell r="C134">
            <v>222</v>
          </cell>
          <cell r="F134" t="str">
            <v>Holbrook</v>
          </cell>
        </row>
        <row r="135">
          <cell r="C135">
            <v>223</v>
          </cell>
          <cell r="F135" t="str">
            <v>Holden</v>
          </cell>
        </row>
        <row r="136">
          <cell r="C136">
            <v>224</v>
          </cell>
          <cell r="F136" t="str">
            <v>Holland</v>
          </cell>
        </row>
        <row r="137">
          <cell r="C137">
            <v>225</v>
          </cell>
          <cell r="F137" t="str">
            <v>Holliston</v>
          </cell>
        </row>
        <row r="138">
          <cell r="C138">
            <v>226</v>
          </cell>
          <cell r="F138" t="str">
            <v>Holyoke</v>
          </cell>
        </row>
        <row r="139">
          <cell r="C139">
            <v>227</v>
          </cell>
          <cell r="F139" t="str">
            <v>Hopedale</v>
          </cell>
        </row>
        <row r="140">
          <cell r="C140">
            <v>228</v>
          </cell>
          <cell r="F140" t="str">
            <v>Hopkinton</v>
          </cell>
        </row>
        <row r="141">
          <cell r="C141">
            <v>229</v>
          </cell>
          <cell r="F141" t="str">
            <v>Hubbardston</v>
          </cell>
        </row>
        <row r="142">
          <cell r="C142">
            <v>230</v>
          </cell>
          <cell r="F142" t="str">
            <v>Hudson</v>
          </cell>
        </row>
        <row r="143">
          <cell r="C143">
            <v>231</v>
          </cell>
          <cell r="F143" t="str">
            <v>Hull</v>
          </cell>
        </row>
        <row r="144">
          <cell r="C144">
            <v>232</v>
          </cell>
          <cell r="F144" t="str">
            <v>Huntington</v>
          </cell>
        </row>
        <row r="145">
          <cell r="C145">
            <v>233</v>
          </cell>
          <cell r="F145" t="str">
            <v>Ipswich</v>
          </cell>
        </row>
        <row r="146">
          <cell r="C146">
            <v>234</v>
          </cell>
          <cell r="F146" t="str">
            <v>Kingston</v>
          </cell>
        </row>
        <row r="147">
          <cell r="C147">
            <v>235</v>
          </cell>
          <cell r="F147" t="str">
            <v>Lakeville</v>
          </cell>
        </row>
        <row r="148">
          <cell r="C148">
            <v>236</v>
          </cell>
          <cell r="F148" t="str">
            <v>Lancaster</v>
          </cell>
        </row>
        <row r="149">
          <cell r="C149">
            <v>237</v>
          </cell>
          <cell r="F149" t="str">
            <v>Lanesborough</v>
          </cell>
        </row>
        <row r="150">
          <cell r="C150">
            <v>238</v>
          </cell>
          <cell r="F150" t="str">
            <v>Lawrence</v>
          </cell>
        </row>
        <row r="151">
          <cell r="C151">
            <v>239</v>
          </cell>
          <cell r="F151" t="str">
            <v>Lee</v>
          </cell>
        </row>
        <row r="152">
          <cell r="C152">
            <v>240</v>
          </cell>
          <cell r="F152" t="str">
            <v>Leicester</v>
          </cell>
        </row>
        <row r="153">
          <cell r="C153">
            <v>241</v>
          </cell>
          <cell r="F153" t="str">
            <v>Lenox</v>
          </cell>
        </row>
        <row r="154">
          <cell r="C154">
            <v>242</v>
          </cell>
          <cell r="F154" t="str">
            <v>Leominster</v>
          </cell>
        </row>
        <row r="155">
          <cell r="C155">
            <v>243</v>
          </cell>
          <cell r="F155" t="str">
            <v>Leverett</v>
          </cell>
        </row>
        <row r="156">
          <cell r="C156">
            <v>244</v>
          </cell>
          <cell r="F156" t="str">
            <v>Lexington</v>
          </cell>
        </row>
        <row r="157">
          <cell r="C157">
            <v>245</v>
          </cell>
          <cell r="F157" t="str">
            <v>Leyden</v>
          </cell>
        </row>
        <row r="158">
          <cell r="C158">
            <v>246</v>
          </cell>
          <cell r="F158" t="str">
            <v>Lincoln</v>
          </cell>
        </row>
        <row r="159">
          <cell r="C159">
            <v>247</v>
          </cell>
          <cell r="F159" t="str">
            <v>Littleton</v>
          </cell>
        </row>
        <row r="160">
          <cell r="C160">
            <v>248</v>
          </cell>
          <cell r="F160" t="str">
            <v>Longmeadow</v>
          </cell>
        </row>
        <row r="161">
          <cell r="C161">
            <v>249</v>
          </cell>
          <cell r="F161" t="str">
            <v>Lowell</v>
          </cell>
        </row>
        <row r="162">
          <cell r="C162">
            <v>250</v>
          </cell>
          <cell r="F162" t="str">
            <v>Ludlow</v>
          </cell>
        </row>
        <row r="163">
          <cell r="C163">
            <v>251</v>
          </cell>
          <cell r="F163" t="str">
            <v>Lunenburg</v>
          </cell>
        </row>
        <row r="164">
          <cell r="C164">
            <v>252</v>
          </cell>
          <cell r="F164" t="str">
            <v>Lynn</v>
          </cell>
        </row>
        <row r="165">
          <cell r="C165">
            <v>253</v>
          </cell>
          <cell r="F165" t="str">
            <v>Lynnfield</v>
          </cell>
        </row>
        <row r="166">
          <cell r="C166">
            <v>254</v>
          </cell>
          <cell r="F166" t="str">
            <v>Malden</v>
          </cell>
        </row>
        <row r="167">
          <cell r="C167">
            <v>255</v>
          </cell>
          <cell r="F167" t="str">
            <v>Manchester-by-the-Sea</v>
          </cell>
        </row>
        <row r="168">
          <cell r="C168">
            <v>256</v>
          </cell>
          <cell r="F168" t="str">
            <v>Mansfield</v>
          </cell>
        </row>
        <row r="169">
          <cell r="C169">
            <v>257</v>
          </cell>
          <cell r="F169" t="str">
            <v>Marblehead</v>
          </cell>
        </row>
        <row r="170">
          <cell r="C170">
            <v>258</v>
          </cell>
          <cell r="F170" t="str">
            <v>Marion</v>
          </cell>
        </row>
        <row r="171">
          <cell r="C171">
            <v>259</v>
          </cell>
          <cell r="F171" t="str">
            <v>Marlborough</v>
          </cell>
        </row>
        <row r="172">
          <cell r="C172">
            <v>260</v>
          </cell>
          <cell r="F172" t="str">
            <v>Marshfield</v>
          </cell>
        </row>
        <row r="173">
          <cell r="C173">
            <v>261</v>
          </cell>
          <cell r="F173" t="str">
            <v>Mashpee</v>
          </cell>
        </row>
        <row r="174">
          <cell r="C174">
            <v>262</v>
          </cell>
          <cell r="F174" t="str">
            <v>Mattapoisett</v>
          </cell>
        </row>
        <row r="175">
          <cell r="C175">
            <v>263</v>
          </cell>
          <cell r="F175" t="str">
            <v>Maynard</v>
          </cell>
        </row>
        <row r="176">
          <cell r="C176">
            <v>264</v>
          </cell>
          <cell r="F176" t="str">
            <v>Medfield</v>
          </cell>
        </row>
        <row r="177">
          <cell r="C177">
            <v>265</v>
          </cell>
          <cell r="F177" t="str">
            <v>Medford</v>
          </cell>
        </row>
        <row r="178">
          <cell r="C178">
            <v>266</v>
          </cell>
          <cell r="F178" t="str">
            <v>Medway</v>
          </cell>
        </row>
        <row r="179">
          <cell r="C179">
            <v>267</v>
          </cell>
          <cell r="F179" t="str">
            <v>Melrose</v>
          </cell>
        </row>
        <row r="180">
          <cell r="C180">
            <v>268</v>
          </cell>
          <cell r="F180" t="str">
            <v>Mendon</v>
          </cell>
        </row>
        <row r="181">
          <cell r="C181">
            <v>269</v>
          </cell>
          <cell r="F181" t="str">
            <v>Merrimac</v>
          </cell>
        </row>
        <row r="182">
          <cell r="C182">
            <v>270</v>
          </cell>
          <cell r="F182" t="str">
            <v>Methuen</v>
          </cell>
        </row>
        <row r="183">
          <cell r="F183" t="str">
            <v>Middleborough</v>
          </cell>
        </row>
        <row r="184">
          <cell r="F184" t="str">
            <v>Middlefield</v>
          </cell>
        </row>
        <row r="185">
          <cell r="F185" t="str">
            <v>Middleton</v>
          </cell>
        </row>
        <row r="186">
          <cell r="F186" t="str">
            <v>Milford</v>
          </cell>
        </row>
        <row r="187">
          <cell r="F187" t="str">
            <v>Millbury</v>
          </cell>
        </row>
        <row r="188">
          <cell r="F188" t="str">
            <v>Millis</v>
          </cell>
        </row>
        <row r="189">
          <cell r="F189" t="str">
            <v>Millville</v>
          </cell>
        </row>
        <row r="190">
          <cell r="F190" t="str">
            <v>Milton</v>
          </cell>
        </row>
        <row r="191">
          <cell r="F191" t="str">
            <v>Monroe</v>
          </cell>
        </row>
        <row r="192">
          <cell r="F192" t="str">
            <v>Monson</v>
          </cell>
        </row>
        <row r="193">
          <cell r="F193" t="str">
            <v>Montague</v>
          </cell>
        </row>
        <row r="194">
          <cell r="F194" t="str">
            <v>Monterey</v>
          </cell>
        </row>
        <row r="195">
          <cell r="F195" t="str">
            <v>Montgomery</v>
          </cell>
        </row>
        <row r="196">
          <cell r="F196" t="str">
            <v>Mount Washington</v>
          </cell>
        </row>
        <row r="197">
          <cell r="F197" t="str">
            <v>Nahant</v>
          </cell>
        </row>
        <row r="198">
          <cell r="F198" t="str">
            <v>Nantucket</v>
          </cell>
        </row>
        <row r="199">
          <cell r="F199" t="str">
            <v>Natick</v>
          </cell>
        </row>
        <row r="200">
          <cell r="F200" t="str">
            <v>Needham</v>
          </cell>
        </row>
        <row r="201">
          <cell r="F201" t="str">
            <v>New Ashford</v>
          </cell>
        </row>
        <row r="202">
          <cell r="F202" t="str">
            <v>New Bedford</v>
          </cell>
        </row>
        <row r="203">
          <cell r="F203" t="str">
            <v>New Braintree</v>
          </cell>
        </row>
        <row r="204">
          <cell r="F204" t="str">
            <v>New Marlborough</v>
          </cell>
        </row>
        <row r="205">
          <cell r="F205" t="str">
            <v>New Salem</v>
          </cell>
        </row>
        <row r="206">
          <cell r="F206" t="str">
            <v>Newbury</v>
          </cell>
        </row>
        <row r="207">
          <cell r="F207" t="str">
            <v>Newburyport</v>
          </cell>
        </row>
        <row r="208">
          <cell r="F208" t="str">
            <v>Newton</v>
          </cell>
        </row>
        <row r="209">
          <cell r="F209" t="str">
            <v>Norfolk</v>
          </cell>
        </row>
        <row r="210">
          <cell r="F210" t="str">
            <v>North Adams</v>
          </cell>
        </row>
        <row r="211">
          <cell r="F211" t="str">
            <v>North Andover</v>
          </cell>
        </row>
        <row r="212">
          <cell r="F212" t="str">
            <v>North Attleborough</v>
          </cell>
        </row>
        <row r="213">
          <cell r="F213" t="str">
            <v>North Brookfield</v>
          </cell>
        </row>
        <row r="214">
          <cell r="F214" t="str">
            <v>North Reading</v>
          </cell>
        </row>
        <row r="215">
          <cell r="F215" t="str">
            <v>Northampton</v>
          </cell>
        </row>
        <row r="216">
          <cell r="F216" t="str">
            <v>Northborough</v>
          </cell>
        </row>
        <row r="217">
          <cell r="F217" t="str">
            <v>Northbridge</v>
          </cell>
        </row>
        <row r="218">
          <cell r="F218" t="str">
            <v>Northfield</v>
          </cell>
        </row>
        <row r="219">
          <cell r="F219" t="str">
            <v>Norton</v>
          </cell>
        </row>
        <row r="220">
          <cell r="F220" t="str">
            <v>Norwell</v>
          </cell>
        </row>
        <row r="221">
          <cell r="F221" t="str">
            <v>Norwood</v>
          </cell>
        </row>
        <row r="222">
          <cell r="F222" t="str">
            <v>Oak Bluffs</v>
          </cell>
        </row>
        <row r="223">
          <cell r="F223" t="str">
            <v>Oakham</v>
          </cell>
        </row>
        <row r="224">
          <cell r="F224" t="str">
            <v>Orange</v>
          </cell>
        </row>
        <row r="225">
          <cell r="F225" t="str">
            <v>Orleans</v>
          </cell>
        </row>
        <row r="226">
          <cell r="F226" t="str">
            <v>Otis</v>
          </cell>
        </row>
        <row r="227">
          <cell r="F227" t="str">
            <v>Oxford</v>
          </cell>
        </row>
        <row r="228">
          <cell r="F228" t="str">
            <v>Palmer</v>
          </cell>
        </row>
        <row r="229">
          <cell r="F229" t="str">
            <v>Paxton</v>
          </cell>
        </row>
        <row r="230">
          <cell r="F230" t="str">
            <v>Peabody</v>
          </cell>
        </row>
        <row r="231">
          <cell r="F231" t="str">
            <v>Pelham</v>
          </cell>
        </row>
        <row r="232">
          <cell r="F232" t="str">
            <v>Pembroke</v>
          </cell>
        </row>
        <row r="233">
          <cell r="F233" t="str">
            <v>Pepperell</v>
          </cell>
        </row>
        <row r="234">
          <cell r="F234" t="str">
            <v>Peru</v>
          </cell>
        </row>
        <row r="235">
          <cell r="F235" t="str">
            <v>Petersham</v>
          </cell>
        </row>
        <row r="236">
          <cell r="F236" t="str">
            <v>Phillipston</v>
          </cell>
        </row>
        <row r="237">
          <cell r="F237" t="str">
            <v>Pittsfield</v>
          </cell>
        </row>
        <row r="238">
          <cell r="F238" t="str">
            <v>Plainfield</v>
          </cell>
        </row>
        <row r="239">
          <cell r="F239" t="str">
            <v>Plainville</v>
          </cell>
        </row>
        <row r="240">
          <cell r="F240" t="str">
            <v>Plymouth</v>
          </cell>
        </row>
        <row r="241">
          <cell r="F241" t="str">
            <v>Plympton</v>
          </cell>
        </row>
        <row r="242">
          <cell r="F242" t="str">
            <v>Princeton</v>
          </cell>
        </row>
        <row r="243">
          <cell r="F243" t="str">
            <v>Provincetown</v>
          </cell>
        </row>
        <row r="244">
          <cell r="F244" t="str">
            <v>Quincy</v>
          </cell>
        </row>
        <row r="245">
          <cell r="F245" t="str">
            <v>Randolph</v>
          </cell>
        </row>
        <row r="246">
          <cell r="F246" t="str">
            <v>Raynham</v>
          </cell>
        </row>
        <row r="247">
          <cell r="F247" t="str">
            <v>Reading</v>
          </cell>
        </row>
        <row r="248">
          <cell r="F248" t="str">
            <v>Rehoboth</v>
          </cell>
        </row>
        <row r="249">
          <cell r="F249" t="str">
            <v>Revere</v>
          </cell>
        </row>
        <row r="250">
          <cell r="F250" t="str">
            <v>Richmond</v>
          </cell>
        </row>
        <row r="251">
          <cell r="F251" t="str">
            <v>Rochester</v>
          </cell>
        </row>
        <row r="252">
          <cell r="F252" t="str">
            <v>Rockland</v>
          </cell>
        </row>
        <row r="253">
          <cell r="F253" t="str">
            <v>Rockport</v>
          </cell>
        </row>
        <row r="254">
          <cell r="F254" t="str">
            <v>Rowe</v>
          </cell>
        </row>
        <row r="255">
          <cell r="F255" t="str">
            <v>Rowley</v>
          </cell>
        </row>
        <row r="256">
          <cell r="F256" t="str">
            <v>Royalston</v>
          </cell>
        </row>
        <row r="257">
          <cell r="F257" t="str">
            <v>Russell</v>
          </cell>
        </row>
        <row r="258">
          <cell r="F258" t="str">
            <v>Rutland</v>
          </cell>
        </row>
        <row r="259">
          <cell r="F259" t="str">
            <v>Salem</v>
          </cell>
        </row>
        <row r="260">
          <cell r="F260" t="str">
            <v>Salisbury</v>
          </cell>
        </row>
        <row r="261">
          <cell r="F261" t="str">
            <v>Sandisfield</v>
          </cell>
        </row>
        <row r="262">
          <cell r="F262" t="str">
            <v>Sandwich</v>
          </cell>
        </row>
        <row r="263">
          <cell r="F263" t="str">
            <v>Saugus</v>
          </cell>
        </row>
        <row r="264">
          <cell r="F264" t="str">
            <v>Savoy</v>
          </cell>
        </row>
        <row r="265">
          <cell r="F265" t="str">
            <v>Scituate</v>
          </cell>
        </row>
        <row r="266">
          <cell r="F266" t="str">
            <v>Seekonk</v>
          </cell>
        </row>
        <row r="267">
          <cell r="F267" t="str">
            <v>Sharon</v>
          </cell>
        </row>
        <row r="268">
          <cell r="F268" t="str">
            <v>Sheffield</v>
          </cell>
        </row>
        <row r="269">
          <cell r="F269" t="str">
            <v>Shelburne</v>
          </cell>
        </row>
        <row r="270">
          <cell r="F270" t="str">
            <v>Sherborn</v>
          </cell>
        </row>
        <row r="271">
          <cell r="F271" t="str">
            <v>Shirley</v>
          </cell>
        </row>
        <row r="272">
          <cell r="F272" t="str">
            <v>Shrewsbury</v>
          </cell>
        </row>
        <row r="273">
          <cell r="F273" t="str">
            <v>Shutesbury</v>
          </cell>
        </row>
        <row r="274">
          <cell r="F274" t="str">
            <v>Somerset</v>
          </cell>
        </row>
        <row r="275">
          <cell r="F275" t="str">
            <v>Somerville</v>
          </cell>
        </row>
        <row r="276">
          <cell r="F276" t="str">
            <v>South Hadley</v>
          </cell>
        </row>
        <row r="277">
          <cell r="F277" t="str">
            <v>Southampton</v>
          </cell>
        </row>
        <row r="278">
          <cell r="F278" t="str">
            <v>Southborough</v>
          </cell>
        </row>
        <row r="279">
          <cell r="F279" t="str">
            <v>Southbridge</v>
          </cell>
        </row>
        <row r="280">
          <cell r="F280" t="str">
            <v>Southwick</v>
          </cell>
        </row>
        <row r="281">
          <cell r="F281" t="str">
            <v>Spencer</v>
          </cell>
        </row>
        <row r="282">
          <cell r="F282" t="str">
            <v>Springfield</v>
          </cell>
        </row>
        <row r="283">
          <cell r="F283" t="str">
            <v>Sterling</v>
          </cell>
        </row>
        <row r="284">
          <cell r="F284" t="str">
            <v>Stockbridge</v>
          </cell>
        </row>
        <row r="285">
          <cell r="F285" t="str">
            <v>Stoneham</v>
          </cell>
        </row>
        <row r="286">
          <cell r="F286" t="str">
            <v>Stoughton</v>
          </cell>
        </row>
        <row r="287">
          <cell r="F287" t="str">
            <v>Stow</v>
          </cell>
        </row>
        <row r="288">
          <cell r="F288" t="str">
            <v>Sturbridge</v>
          </cell>
        </row>
        <row r="289">
          <cell r="F289" t="str">
            <v>Sudbury</v>
          </cell>
        </row>
        <row r="290">
          <cell r="F290" t="str">
            <v>Sunderland</v>
          </cell>
        </row>
        <row r="291">
          <cell r="F291" t="str">
            <v>Sutton</v>
          </cell>
        </row>
        <row r="292">
          <cell r="F292" t="str">
            <v>Swampscott</v>
          </cell>
        </row>
        <row r="293">
          <cell r="F293" t="str">
            <v>Swansea</v>
          </cell>
        </row>
        <row r="294">
          <cell r="F294" t="str">
            <v>Taunton</v>
          </cell>
        </row>
        <row r="295">
          <cell r="F295" t="str">
            <v>Templeton</v>
          </cell>
        </row>
        <row r="296">
          <cell r="F296" t="str">
            <v>Tewksbury</v>
          </cell>
        </row>
        <row r="297">
          <cell r="F297" t="str">
            <v>Tisbury</v>
          </cell>
        </row>
        <row r="298">
          <cell r="F298" t="str">
            <v>Tolland</v>
          </cell>
        </row>
        <row r="299">
          <cell r="F299" t="str">
            <v>Topsfield</v>
          </cell>
        </row>
        <row r="300">
          <cell r="F300" t="str">
            <v>Townsend</v>
          </cell>
        </row>
        <row r="301">
          <cell r="F301" t="str">
            <v>Truro</v>
          </cell>
        </row>
        <row r="302">
          <cell r="F302" t="str">
            <v>Tyngsborough</v>
          </cell>
        </row>
        <row r="303">
          <cell r="F303" t="str">
            <v>Tyringham</v>
          </cell>
        </row>
        <row r="304">
          <cell r="F304" t="str">
            <v>Upton</v>
          </cell>
        </row>
        <row r="305">
          <cell r="F305" t="str">
            <v>Uxbridge</v>
          </cell>
        </row>
        <row r="306">
          <cell r="F306" t="str">
            <v>Wakefield</v>
          </cell>
        </row>
        <row r="307">
          <cell r="F307" t="str">
            <v>Wales</v>
          </cell>
        </row>
        <row r="308">
          <cell r="F308" t="str">
            <v>Walpole</v>
          </cell>
        </row>
        <row r="309">
          <cell r="F309" t="str">
            <v>Waltham</v>
          </cell>
        </row>
        <row r="310">
          <cell r="F310" t="str">
            <v>Ware</v>
          </cell>
        </row>
        <row r="311">
          <cell r="F311" t="str">
            <v>Wareham</v>
          </cell>
        </row>
        <row r="312">
          <cell r="F312" t="str">
            <v>Warren</v>
          </cell>
        </row>
        <row r="313">
          <cell r="F313" t="str">
            <v>Warwick</v>
          </cell>
        </row>
        <row r="314">
          <cell r="F314" t="str">
            <v>Washington</v>
          </cell>
        </row>
        <row r="315">
          <cell r="F315" t="str">
            <v>Watertown</v>
          </cell>
        </row>
        <row r="316">
          <cell r="F316" t="str">
            <v>Wayland</v>
          </cell>
        </row>
        <row r="317">
          <cell r="F317" t="str">
            <v>Webster</v>
          </cell>
        </row>
        <row r="318">
          <cell r="F318" t="str">
            <v>Wellesley</v>
          </cell>
        </row>
        <row r="319">
          <cell r="F319" t="str">
            <v>Wellfleet</v>
          </cell>
        </row>
        <row r="320">
          <cell r="F320" t="str">
            <v>Wendell</v>
          </cell>
        </row>
        <row r="321">
          <cell r="F321" t="str">
            <v>Wenham</v>
          </cell>
        </row>
        <row r="322">
          <cell r="F322" t="str">
            <v>West Boylston</v>
          </cell>
        </row>
        <row r="323">
          <cell r="F323" t="str">
            <v>West Bridgewater</v>
          </cell>
        </row>
        <row r="324">
          <cell r="F324" t="str">
            <v>West Brookfield</v>
          </cell>
        </row>
        <row r="325">
          <cell r="F325" t="str">
            <v>West Newbury</v>
          </cell>
        </row>
        <row r="326">
          <cell r="F326" t="str">
            <v>West Springfield</v>
          </cell>
        </row>
        <row r="327">
          <cell r="F327" t="str">
            <v>West Stockbridge</v>
          </cell>
        </row>
        <row r="328">
          <cell r="F328" t="str">
            <v>West Tisbury</v>
          </cell>
        </row>
        <row r="329">
          <cell r="F329" t="str">
            <v>Westborough</v>
          </cell>
        </row>
        <row r="330">
          <cell r="F330" t="str">
            <v>Westfield</v>
          </cell>
        </row>
        <row r="331">
          <cell r="F331" t="str">
            <v>Westford</v>
          </cell>
        </row>
        <row r="332">
          <cell r="F332" t="str">
            <v>Westhampton</v>
          </cell>
        </row>
        <row r="333">
          <cell r="F333" t="str">
            <v>Westminster</v>
          </cell>
        </row>
        <row r="334">
          <cell r="F334" t="str">
            <v>Weston</v>
          </cell>
        </row>
        <row r="335">
          <cell r="F335" t="str">
            <v>Westport</v>
          </cell>
        </row>
        <row r="336">
          <cell r="F336" t="str">
            <v>Westwood</v>
          </cell>
        </row>
        <row r="337">
          <cell r="F337" t="str">
            <v>Weymouth</v>
          </cell>
        </row>
        <row r="338">
          <cell r="F338" t="str">
            <v>Whately</v>
          </cell>
        </row>
        <row r="339">
          <cell r="F339" t="str">
            <v>Whitman</v>
          </cell>
        </row>
        <row r="340">
          <cell r="F340" t="str">
            <v>Wilbraham</v>
          </cell>
        </row>
        <row r="341">
          <cell r="F341" t="str">
            <v>Williamsburg</v>
          </cell>
        </row>
        <row r="342">
          <cell r="F342" t="str">
            <v>Williamstown</v>
          </cell>
        </row>
        <row r="343">
          <cell r="F343" t="str">
            <v>Wilmington</v>
          </cell>
        </row>
        <row r="344">
          <cell r="F344" t="str">
            <v>Winchendon</v>
          </cell>
        </row>
        <row r="345">
          <cell r="F345" t="str">
            <v>Winchester</v>
          </cell>
        </row>
        <row r="346">
          <cell r="F346" t="str">
            <v>Windsor</v>
          </cell>
        </row>
        <row r="347">
          <cell r="F347" t="str">
            <v>Winthrop</v>
          </cell>
        </row>
        <row r="348">
          <cell r="F348" t="str">
            <v>Woburn</v>
          </cell>
        </row>
        <row r="349">
          <cell r="F349" t="str">
            <v>Worcester</v>
          </cell>
        </row>
        <row r="350">
          <cell r="F350" t="str">
            <v>Worthington</v>
          </cell>
        </row>
        <row r="351">
          <cell r="F351" t="str">
            <v>Wrentham</v>
          </cell>
        </row>
        <row r="352">
          <cell r="F352" t="str">
            <v>Yarmouth</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efinitions"/>
      <sheetName val="PV Project Detail Form"/>
      <sheetName val="Drop-Down Lists"/>
    </sheetNames>
    <sheetDataSet>
      <sheetData sheetId="0" refreshError="1"/>
      <sheetData sheetId="1" refreshError="1"/>
      <sheetData sheetId="2">
        <row r="2">
          <cell r="J2" t="str">
            <v>Roof</v>
          </cell>
        </row>
        <row r="3">
          <cell r="J3" t="str">
            <v>Ground</v>
          </cell>
        </row>
        <row r="4">
          <cell r="J4" t="str">
            <v>Both</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ag.umass.edu/solarplanning" TargetMode="External"/><Relationship Id="rId7" Type="http://schemas.openxmlformats.org/officeDocument/2006/relationships/package" Target="../embeddings/Microsoft_Word_Document.docx"/><Relationship Id="rId2" Type="http://schemas.openxmlformats.org/officeDocument/2006/relationships/hyperlink" Target="https://ag.umass.edu/clean-energy/research-initiatives/solar-siting-financing/community-planning-for-solar-toolkit/step-3-solar-financing-ownership" TargetMode="External"/><Relationship Id="rId1" Type="http://schemas.openxmlformats.org/officeDocument/2006/relationships/hyperlink" Target="https://ag.umass.edu/clean-energy/research-initiatives/solar-siting-financing/community-planning-for-solar-toolkit/step-3-solar-financing-ownership"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D1:F106"/>
  <sheetViews>
    <sheetView showGridLines="0" tabSelected="1" zoomScale="80" zoomScaleNormal="80" workbookViewId="0"/>
  </sheetViews>
  <sheetFormatPr defaultRowHeight="12.75" x14ac:dyDescent="0.2"/>
  <cols>
    <col min="1" max="1" width="2.5703125" customWidth="1"/>
    <col min="2" max="2" width="120" customWidth="1"/>
    <col min="3" max="3" width="2.28515625" customWidth="1"/>
    <col min="4" max="4" width="27.140625" customWidth="1"/>
    <col min="5" max="5" width="14" customWidth="1"/>
  </cols>
  <sheetData>
    <row r="1" spans="4:6" x14ac:dyDescent="0.2">
      <c r="E1" s="180"/>
    </row>
    <row r="2" spans="4:6" x14ac:dyDescent="0.2">
      <c r="D2" s="212" t="s">
        <v>194</v>
      </c>
      <c r="E2" s="187">
        <v>44679</v>
      </c>
      <c r="F2" s="187" t="s">
        <v>267</v>
      </c>
    </row>
    <row r="3" spans="4:6" x14ac:dyDescent="0.2">
      <c r="E3" s="187">
        <v>44879</v>
      </c>
      <c r="F3" s="502" t="s">
        <v>266</v>
      </c>
    </row>
    <row r="28" spans="4:4" x14ac:dyDescent="0.2">
      <c r="D28" s="415" t="s">
        <v>264</v>
      </c>
    </row>
    <row r="30" spans="4:4" x14ac:dyDescent="0.2">
      <c r="D30" s="414" t="s">
        <v>263</v>
      </c>
    </row>
    <row r="100" spans="4:4" x14ac:dyDescent="0.2">
      <c r="D100" s="414" t="s">
        <v>265</v>
      </c>
    </row>
    <row r="105" spans="4:4" x14ac:dyDescent="0.2">
      <c r="D105" s="414" t="s">
        <v>265</v>
      </c>
    </row>
    <row r="106" spans="4:4" x14ac:dyDescent="0.2">
      <c r="D106" s="414"/>
    </row>
  </sheetData>
  <sheetProtection algorithmName="SHA-512" hashValue="THUNj6lcLMeOLylpSFCTj7o85ybhA2aZ8Je8GrVirxoQKu4FpanllgvUNYGewBWa6IA4/RH25z503E76btKV/w==" saltValue="9KtbPJeVbmVt+bivm65rng==" spinCount="100000" sheet="1" objects="1" scenarios="1"/>
  <hyperlinks>
    <hyperlink ref="D100" r:id="rId1" xr:uid="{B883ECD2-7D61-41C4-AC37-8B96DDD8C0F8}"/>
    <hyperlink ref="D105" r:id="rId2" xr:uid="{497D25DE-9725-4687-A717-7A6387050F55}"/>
    <hyperlink ref="D30" r:id="rId3" xr:uid="{FEA8FC59-E75C-4269-A7CB-0CBAF722FE56}"/>
  </hyperlinks>
  <pageMargins left="0.7" right="0.7" top="0.75" bottom="0.75" header="0.3" footer="0.3"/>
  <pageSetup orientation="portrait" horizontalDpi="1200" verticalDpi="1200" r:id="rId4"/>
  <drawing r:id="rId5"/>
  <legacyDrawing r:id="rId6"/>
  <oleObjects>
    <mc:AlternateContent xmlns:mc="http://schemas.openxmlformats.org/markup-compatibility/2006">
      <mc:Choice Requires="x14">
        <oleObject progId="Document" shapeId="1036" r:id="rId7">
          <objectPr defaultSize="0" r:id="rId8">
            <anchor moveWithCells="1">
              <from>
                <xdr:col>1</xdr:col>
                <xdr:colOff>0</xdr:colOff>
                <xdr:row>1</xdr:row>
                <xdr:rowOff>0</xdr:rowOff>
              </from>
              <to>
                <xdr:col>1</xdr:col>
                <xdr:colOff>7810500</xdr:colOff>
                <xdr:row>117</xdr:row>
                <xdr:rowOff>95250</xdr:rowOff>
              </to>
            </anchor>
          </objectPr>
        </oleObject>
      </mc:Choice>
      <mc:Fallback>
        <oleObject progId="Document" shapeId="1036"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1:AF71"/>
  <sheetViews>
    <sheetView showGridLines="0" zoomScale="112" zoomScaleNormal="112" workbookViewId="0">
      <selection activeCell="N10" sqref="N10"/>
    </sheetView>
  </sheetViews>
  <sheetFormatPr defaultColWidth="8.85546875" defaultRowHeight="12.75" x14ac:dyDescent="0.2"/>
  <cols>
    <col min="1" max="1" width="2.7109375" style="213" customWidth="1"/>
    <col min="2" max="2" width="5.7109375" style="213" customWidth="1"/>
    <col min="3" max="3" width="22.7109375" style="213" customWidth="1"/>
    <col min="4" max="4" width="13.28515625" style="213" customWidth="1"/>
    <col min="5" max="5" width="20.42578125" style="213" customWidth="1"/>
    <col min="6" max="8" width="13.42578125" style="213" customWidth="1"/>
    <col min="9" max="9" width="13" style="213" customWidth="1"/>
    <col min="10" max="10" width="11.42578125" style="213" customWidth="1"/>
    <col min="11" max="16" width="12.42578125" style="213" customWidth="1"/>
    <col min="17" max="18" width="13" style="213" customWidth="1"/>
    <col min="19" max="19" width="12.28515625" style="213" customWidth="1"/>
    <col min="20" max="20" width="10.85546875" style="213" customWidth="1"/>
    <col min="21" max="28" width="9.28515625" style="213" customWidth="1"/>
    <col min="29" max="16384" width="8.85546875" style="213"/>
  </cols>
  <sheetData>
    <row r="1" spans="2:32" ht="13.5" thickBot="1" x14ac:dyDescent="0.25">
      <c r="O1" s="214"/>
      <c r="P1" s="214"/>
      <c r="Q1" s="214"/>
      <c r="R1" s="214"/>
      <c r="V1" s="215"/>
      <c r="W1" s="215"/>
      <c r="X1" s="215"/>
      <c r="Y1" s="215"/>
      <c r="Z1" s="215"/>
      <c r="AA1" s="215"/>
      <c r="AB1" s="215"/>
      <c r="AC1" s="215"/>
    </row>
    <row r="2" spans="2:32" ht="21.75" customHeight="1" thickBot="1" x14ac:dyDescent="0.25">
      <c r="C2" s="459" t="s">
        <v>243</v>
      </c>
      <c r="D2" s="460"/>
      <c r="E2" s="460"/>
      <c r="F2" s="460"/>
      <c r="G2" s="461"/>
      <c r="Q2" s="214"/>
      <c r="R2" s="214"/>
      <c r="V2" s="215"/>
      <c r="W2" s="215"/>
      <c r="X2" s="215"/>
      <c r="Y2" s="215"/>
      <c r="Z2" s="215"/>
      <c r="AA2" s="215"/>
      <c r="AB2" s="215"/>
      <c r="AC2" s="215"/>
    </row>
    <row r="3" spans="2:32" ht="66" customHeight="1" thickBot="1" x14ac:dyDescent="0.25">
      <c r="B3" s="214"/>
      <c r="C3" s="468" t="s">
        <v>244</v>
      </c>
      <c r="D3" s="469"/>
      <c r="E3" s="469"/>
      <c r="F3" s="469"/>
      <c r="G3" s="470"/>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row>
    <row r="4" spans="2:32" ht="18" customHeight="1" thickBot="1" x14ac:dyDescent="0.25">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row>
    <row r="5" spans="2:32" ht="19.5" customHeight="1" thickBot="1" x14ac:dyDescent="0.25">
      <c r="B5" s="214"/>
      <c r="C5" s="426" t="s">
        <v>216</v>
      </c>
      <c r="D5" s="427"/>
      <c r="E5" s="428"/>
      <c r="F5" s="432" t="s">
        <v>217</v>
      </c>
      <c r="G5" s="433"/>
      <c r="H5" s="433"/>
      <c r="I5" s="433"/>
      <c r="J5" s="433"/>
      <c r="K5" s="433"/>
      <c r="L5" s="433"/>
      <c r="M5" s="433"/>
      <c r="N5" s="434"/>
      <c r="O5" s="438" t="s">
        <v>218</v>
      </c>
      <c r="P5" s="439"/>
      <c r="Q5" s="439"/>
      <c r="R5" s="440"/>
      <c r="S5" s="484" t="s">
        <v>219</v>
      </c>
      <c r="T5" s="485"/>
      <c r="U5" s="485"/>
      <c r="V5" s="485"/>
      <c r="W5" s="485"/>
      <c r="X5" s="485"/>
      <c r="Y5" s="485"/>
      <c r="Z5" s="485"/>
      <c r="AA5" s="485"/>
      <c r="AB5" s="486"/>
      <c r="AC5" s="214"/>
      <c r="AD5" s="214"/>
      <c r="AE5" s="214"/>
      <c r="AF5" s="214"/>
    </row>
    <row r="6" spans="2:32" ht="13.5" thickBot="1" x14ac:dyDescent="0.25">
      <c r="C6" s="429"/>
      <c r="D6" s="430"/>
      <c r="E6" s="431"/>
      <c r="F6" s="435"/>
      <c r="G6" s="436"/>
      <c r="H6" s="436"/>
      <c r="I6" s="436"/>
      <c r="J6" s="436"/>
      <c r="K6" s="436"/>
      <c r="L6" s="436"/>
      <c r="M6" s="436"/>
      <c r="N6" s="437"/>
      <c r="O6" s="441"/>
      <c r="P6" s="442"/>
      <c r="Q6" s="442"/>
      <c r="R6" s="443"/>
      <c r="S6" s="480" t="s">
        <v>144</v>
      </c>
      <c r="T6" s="478"/>
      <c r="U6" s="478"/>
      <c r="V6" s="481"/>
      <c r="W6" s="216"/>
      <c r="X6" s="216"/>
      <c r="Y6" s="477" t="s">
        <v>145</v>
      </c>
      <c r="Z6" s="478"/>
      <c r="AA6" s="478"/>
      <c r="AB6" s="479"/>
    </row>
    <row r="7" spans="2:32" ht="48.75" customHeight="1" x14ac:dyDescent="0.2">
      <c r="C7" s="444" t="s">
        <v>176</v>
      </c>
      <c r="D7" s="446" t="s">
        <v>192</v>
      </c>
      <c r="E7" s="448" t="s">
        <v>187</v>
      </c>
      <c r="F7" s="217" t="s">
        <v>115</v>
      </c>
      <c r="G7" s="217" t="s">
        <v>116</v>
      </c>
      <c r="H7" s="452" t="s">
        <v>125</v>
      </c>
      <c r="I7" s="450" t="s">
        <v>126</v>
      </c>
      <c r="J7" s="218" t="s">
        <v>238</v>
      </c>
      <c r="K7" s="452" t="s">
        <v>85</v>
      </c>
      <c r="L7" s="218" t="s">
        <v>109</v>
      </c>
      <c r="M7" s="218" t="s">
        <v>122</v>
      </c>
      <c r="N7" s="218" t="s">
        <v>114</v>
      </c>
      <c r="O7" s="454" t="s">
        <v>84</v>
      </c>
      <c r="P7" s="454" t="s">
        <v>139</v>
      </c>
      <c r="Q7" s="219" t="s">
        <v>210</v>
      </c>
      <c r="R7" s="219" t="s">
        <v>211</v>
      </c>
      <c r="S7" s="482" t="s">
        <v>255</v>
      </c>
      <c r="T7" s="482" t="s">
        <v>89</v>
      </c>
      <c r="U7" s="220" t="s">
        <v>90</v>
      </c>
      <c r="V7" s="220" t="s">
        <v>141</v>
      </c>
      <c r="W7" s="220" t="s">
        <v>118</v>
      </c>
      <c r="X7" s="482" t="s">
        <v>119</v>
      </c>
      <c r="Y7" s="482" t="s">
        <v>88</v>
      </c>
      <c r="Z7" s="482" t="s">
        <v>89</v>
      </c>
      <c r="AA7" s="220" t="s">
        <v>90</v>
      </c>
      <c r="AB7" s="221" t="s">
        <v>141</v>
      </c>
    </row>
    <row r="8" spans="2:32" ht="23.25" customHeight="1" thickBot="1" x14ac:dyDescent="0.25">
      <c r="C8" s="445"/>
      <c r="D8" s="447"/>
      <c r="E8" s="449"/>
      <c r="F8" s="222" t="s">
        <v>252</v>
      </c>
      <c r="G8" s="222" t="s">
        <v>253</v>
      </c>
      <c r="H8" s="471"/>
      <c r="I8" s="451"/>
      <c r="J8" s="223" t="s">
        <v>87</v>
      </c>
      <c r="K8" s="453"/>
      <c r="L8" s="224" t="s">
        <v>87</v>
      </c>
      <c r="M8" s="224" t="s">
        <v>91</v>
      </c>
      <c r="N8" s="224" t="s">
        <v>110</v>
      </c>
      <c r="O8" s="455"/>
      <c r="P8" s="455"/>
      <c r="Q8" s="421" t="s">
        <v>223</v>
      </c>
      <c r="R8" s="422"/>
      <c r="S8" s="483"/>
      <c r="T8" s="483"/>
      <c r="U8" s="225" t="s">
        <v>91</v>
      </c>
      <c r="V8" s="226" t="s">
        <v>142</v>
      </c>
      <c r="W8" s="227" t="s">
        <v>120</v>
      </c>
      <c r="X8" s="483"/>
      <c r="Y8" s="483"/>
      <c r="Z8" s="483"/>
      <c r="AA8" s="225" t="s">
        <v>91</v>
      </c>
      <c r="AB8" s="228" t="s">
        <v>142</v>
      </c>
    </row>
    <row r="9" spans="2:32" ht="39.75" customHeight="1" thickTop="1" thickBot="1" x14ac:dyDescent="0.25">
      <c r="B9" s="229" t="s">
        <v>245</v>
      </c>
      <c r="C9" s="418" t="s">
        <v>242</v>
      </c>
      <c r="D9" s="419"/>
      <c r="E9" s="420"/>
      <c r="F9" s="335">
        <v>2.1</v>
      </c>
      <c r="G9" s="336">
        <v>1000</v>
      </c>
      <c r="H9" s="337">
        <v>0.26</v>
      </c>
      <c r="I9" s="338">
        <v>0</v>
      </c>
      <c r="J9" s="339">
        <v>0.15</v>
      </c>
      <c r="K9" s="340">
        <v>0.02</v>
      </c>
      <c r="L9" s="341">
        <v>0.2</v>
      </c>
      <c r="M9" s="342">
        <v>20</v>
      </c>
      <c r="N9" s="343">
        <v>25</v>
      </c>
      <c r="O9" s="238"/>
      <c r="P9" s="238"/>
      <c r="Q9" s="239"/>
      <c r="R9" s="239"/>
      <c r="S9" s="344">
        <v>0.4</v>
      </c>
      <c r="T9" s="340">
        <v>0.06</v>
      </c>
      <c r="U9" s="241"/>
      <c r="V9" s="241"/>
      <c r="W9" s="241"/>
      <c r="X9" s="241"/>
      <c r="Y9" s="238"/>
      <c r="Z9" s="238"/>
      <c r="AA9" s="242"/>
      <c r="AB9" s="243"/>
    </row>
    <row r="10" spans="2:32" ht="20.25" customHeight="1" thickTop="1" x14ac:dyDescent="0.2">
      <c r="B10" s="244" t="s">
        <v>146</v>
      </c>
      <c r="C10" s="245" t="s">
        <v>86</v>
      </c>
      <c r="D10" s="503" t="s">
        <v>165</v>
      </c>
      <c r="E10" s="504" t="s">
        <v>191</v>
      </c>
      <c r="F10" s="345">
        <f>F$9</f>
        <v>2.1</v>
      </c>
      <c r="G10" s="346">
        <f t="shared" ref="G10:N10" si="0">G$9</f>
        <v>1000</v>
      </c>
      <c r="H10" s="347">
        <f t="shared" si="0"/>
        <v>0.26</v>
      </c>
      <c r="I10" s="348">
        <f t="shared" si="0"/>
        <v>0</v>
      </c>
      <c r="J10" s="349">
        <f t="shared" si="0"/>
        <v>0.15</v>
      </c>
      <c r="K10" s="350">
        <f t="shared" si="0"/>
        <v>0.02</v>
      </c>
      <c r="L10" s="349">
        <f t="shared" si="0"/>
        <v>0.2</v>
      </c>
      <c r="M10" s="346">
        <f t="shared" si="0"/>
        <v>20</v>
      </c>
      <c r="N10" s="351">
        <f t="shared" si="0"/>
        <v>25</v>
      </c>
      <c r="O10" s="352">
        <v>0.1</v>
      </c>
      <c r="P10" s="352">
        <v>0.2</v>
      </c>
      <c r="Q10" s="353">
        <v>12500</v>
      </c>
      <c r="R10" s="353">
        <v>12500</v>
      </c>
      <c r="S10" s="354">
        <f t="shared" ref="S10:T13" si="1">S$9</f>
        <v>0.4</v>
      </c>
      <c r="T10" s="355">
        <f t="shared" si="1"/>
        <v>0.06</v>
      </c>
      <c r="U10" s="356">
        <v>15</v>
      </c>
      <c r="V10" s="356" t="s">
        <v>106</v>
      </c>
      <c r="W10" s="357">
        <v>0</v>
      </c>
      <c r="X10" s="356"/>
      <c r="Y10" s="358"/>
      <c r="Z10" s="358"/>
      <c r="AA10" s="356"/>
      <c r="AB10" s="359"/>
    </row>
    <row r="11" spans="2:32" ht="20.25" customHeight="1" x14ac:dyDescent="0.2">
      <c r="B11" s="244" t="s">
        <v>147</v>
      </c>
      <c r="C11" s="263" t="s">
        <v>150</v>
      </c>
      <c r="D11" s="503" t="s">
        <v>165</v>
      </c>
      <c r="E11" s="504" t="s">
        <v>191</v>
      </c>
      <c r="F11" s="345">
        <f t="shared" ref="F11:N13" si="2">F$9</f>
        <v>2.1</v>
      </c>
      <c r="G11" s="346">
        <f t="shared" si="2"/>
        <v>1000</v>
      </c>
      <c r="H11" s="360">
        <f t="shared" si="2"/>
        <v>0.26</v>
      </c>
      <c r="I11" s="361">
        <f t="shared" si="2"/>
        <v>0</v>
      </c>
      <c r="J11" s="349">
        <f t="shared" si="2"/>
        <v>0.15</v>
      </c>
      <c r="K11" s="350">
        <f t="shared" si="2"/>
        <v>0.02</v>
      </c>
      <c r="L11" s="349">
        <f t="shared" si="2"/>
        <v>0.2</v>
      </c>
      <c r="M11" s="362">
        <f>M$9</f>
        <v>20</v>
      </c>
      <c r="N11" s="351">
        <f t="shared" si="2"/>
        <v>25</v>
      </c>
      <c r="O11" s="363">
        <v>0.1</v>
      </c>
      <c r="P11" s="363">
        <v>0.6</v>
      </c>
      <c r="Q11" s="364">
        <v>12500</v>
      </c>
      <c r="R11" s="364">
        <v>12500</v>
      </c>
      <c r="S11" s="354">
        <f t="shared" si="1"/>
        <v>0.4</v>
      </c>
      <c r="T11" s="355">
        <f t="shared" si="1"/>
        <v>0.06</v>
      </c>
      <c r="U11" s="365">
        <v>10</v>
      </c>
      <c r="V11" s="356" t="s">
        <v>106</v>
      </c>
      <c r="W11" s="366">
        <v>10</v>
      </c>
      <c r="X11" s="365">
        <v>0.25</v>
      </c>
      <c r="Y11" s="365">
        <v>0.4</v>
      </c>
      <c r="Z11" s="365">
        <v>0.06</v>
      </c>
      <c r="AA11" s="365">
        <v>10</v>
      </c>
      <c r="AB11" s="367" t="s">
        <v>105</v>
      </c>
    </row>
    <row r="12" spans="2:32" ht="20.25" customHeight="1" x14ac:dyDescent="0.2">
      <c r="B12" s="244" t="s">
        <v>148</v>
      </c>
      <c r="C12" s="272" t="s">
        <v>151</v>
      </c>
      <c r="D12" s="503" t="s">
        <v>154</v>
      </c>
      <c r="E12" s="504" t="s">
        <v>191</v>
      </c>
      <c r="F12" s="345">
        <f t="shared" si="2"/>
        <v>2.1</v>
      </c>
      <c r="G12" s="346">
        <f t="shared" si="2"/>
        <v>1000</v>
      </c>
      <c r="H12" s="347">
        <f t="shared" si="2"/>
        <v>0.26</v>
      </c>
      <c r="I12" s="361">
        <f t="shared" si="2"/>
        <v>0</v>
      </c>
      <c r="J12" s="349">
        <f t="shared" si="2"/>
        <v>0.15</v>
      </c>
      <c r="K12" s="350">
        <f t="shared" si="2"/>
        <v>0.02</v>
      </c>
      <c r="L12" s="349">
        <f t="shared" si="2"/>
        <v>0.2</v>
      </c>
      <c r="M12" s="346">
        <f t="shared" si="2"/>
        <v>20</v>
      </c>
      <c r="N12" s="351">
        <f t="shared" si="2"/>
        <v>25</v>
      </c>
      <c r="O12" s="368">
        <v>0.25</v>
      </c>
      <c r="P12" s="368">
        <v>1</v>
      </c>
      <c r="Q12" s="364">
        <v>5000</v>
      </c>
      <c r="R12" s="364">
        <v>5000</v>
      </c>
      <c r="S12" s="354">
        <f t="shared" si="1"/>
        <v>0.4</v>
      </c>
      <c r="T12" s="355">
        <f t="shared" si="1"/>
        <v>0.06</v>
      </c>
      <c r="U12" s="365">
        <v>15</v>
      </c>
      <c r="V12" s="356" t="s">
        <v>105</v>
      </c>
      <c r="W12" s="357">
        <v>0</v>
      </c>
      <c r="X12" s="356"/>
      <c r="Y12" s="358"/>
      <c r="Z12" s="358"/>
      <c r="AA12" s="356"/>
      <c r="AB12" s="359"/>
    </row>
    <row r="13" spans="2:32" ht="20.25" customHeight="1" x14ac:dyDescent="0.2">
      <c r="B13" s="244" t="s">
        <v>149</v>
      </c>
      <c r="C13" s="272" t="s">
        <v>152</v>
      </c>
      <c r="D13" s="503" t="s">
        <v>154</v>
      </c>
      <c r="E13" s="504" t="s">
        <v>189</v>
      </c>
      <c r="F13" s="345">
        <f t="shared" si="2"/>
        <v>2.1</v>
      </c>
      <c r="G13" s="346">
        <f t="shared" si="2"/>
        <v>1000</v>
      </c>
      <c r="H13" s="347">
        <f t="shared" si="2"/>
        <v>0.26</v>
      </c>
      <c r="I13" s="361">
        <f t="shared" si="2"/>
        <v>0</v>
      </c>
      <c r="J13" s="349">
        <f t="shared" si="2"/>
        <v>0.15</v>
      </c>
      <c r="K13" s="350">
        <f t="shared" si="2"/>
        <v>0.02</v>
      </c>
      <c r="L13" s="349">
        <f t="shared" si="2"/>
        <v>0.2</v>
      </c>
      <c r="M13" s="346">
        <f t="shared" si="2"/>
        <v>20</v>
      </c>
      <c r="N13" s="351">
        <f t="shared" si="2"/>
        <v>25</v>
      </c>
      <c r="O13" s="363">
        <v>0.15</v>
      </c>
      <c r="P13" s="363">
        <v>1</v>
      </c>
      <c r="Q13" s="364">
        <v>5000</v>
      </c>
      <c r="R13" s="364">
        <v>5000</v>
      </c>
      <c r="S13" s="354">
        <f t="shared" si="1"/>
        <v>0.4</v>
      </c>
      <c r="T13" s="355">
        <f t="shared" si="1"/>
        <v>0.06</v>
      </c>
      <c r="U13" s="365">
        <v>15</v>
      </c>
      <c r="V13" s="356" t="s">
        <v>105</v>
      </c>
      <c r="W13" s="366">
        <v>0</v>
      </c>
      <c r="X13" s="369"/>
      <c r="Y13" s="369"/>
      <c r="Z13" s="369"/>
      <c r="AA13" s="369"/>
      <c r="AB13" s="367"/>
    </row>
    <row r="14" spans="2:32" ht="18" customHeight="1" thickBot="1" x14ac:dyDescent="0.25">
      <c r="C14" s="275"/>
      <c r="D14" s="505"/>
      <c r="E14" s="506"/>
      <c r="F14" s="507"/>
      <c r="G14" s="507"/>
      <c r="H14" s="507"/>
      <c r="I14" s="507"/>
      <c r="J14" s="508"/>
      <c r="K14" s="509"/>
      <c r="L14" s="509"/>
      <c r="M14" s="509"/>
      <c r="N14" s="509"/>
      <c r="O14" s="510"/>
      <c r="P14" s="510"/>
      <c r="Q14" s="511"/>
      <c r="R14" s="512"/>
      <c r="S14" s="513"/>
      <c r="T14" s="514"/>
      <c r="U14" s="515"/>
      <c r="V14" s="516"/>
      <c r="W14" s="517"/>
      <c r="X14" s="518"/>
      <c r="Y14" s="518"/>
      <c r="Z14" s="518"/>
      <c r="AA14" s="518"/>
      <c r="AB14" s="519"/>
    </row>
    <row r="15" spans="2:32" ht="226.5" customHeight="1" thickBot="1" x14ac:dyDescent="0.25">
      <c r="B15" s="291" t="s">
        <v>177</v>
      </c>
      <c r="C15" s="292" t="s">
        <v>246</v>
      </c>
      <c r="D15" s="292" t="s">
        <v>202</v>
      </c>
      <c r="E15" s="292" t="s">
        <v>208</v>
      </c>
      <c r="F15" s="292" t="s">
        <v>178</v>
      </c>
      <c r="G15" s="292" t="s">
        <v>254</v>
      </c>
      <c r="H15" s="292" t="s">
        <v>179</v>
      </c>
      <c r="I15" s="292" t="s">
        <v>215</v>
      </c>
      <c r="J15" s="292" t="s">
        <v>180</v>
      </c>
      <c r="K15" s="292" t="s">
        <v>181</v>
      </c>
      <c r="L15" s="474" t="s">
        <v>203</v>
      </c>
      <c r="M15" s="475"/>
      <c r="N15" s="292" t="s">
        <v>182</v>
      </c>
      <c r="O15" s="292" t="s">
        <v>183</v>
      </c>
      <c r="P15" s="292" t="s">
        <v>184</v>
      </c>
      <c r="Q15" s="292" t="s">
        <v>212</v>
      </c>
      <c r="R15" s="292" t="s">
        <v>213</v>
      </c>
      <c r="S15" s="474" t="s">
        <v>258</v>
      </c>
      <c r="T15" s="476"/>
      <c r="U15" s="476"/>
      <c r="V15" s="475"/>
      <c r="W15" s="292" t="s">
        <v>185</v>
      </c>
      <c r="X15" s="292" t="s">
        <v>186</v>
      </c>
      <c r="Y15" s="474" t="s">
        <v>205</v>
      </c>
      <c r="Z15" s="476"/>
      <c r="AA15" s="476"/>
      <c r="AB15" s="475"/>
    </row>
    <row r="16" spans="2:32" ht="12.75" customHeight="1" x14ac:dyDescent="0.2">
      <c r="B16" s="293"/>
      <c r="C16" s="294">
        <v>2</v>
      </c>
      <c r="D16" s="294">
        <v>3</v>
      </c>
      <c r="E16" s="294">
        <v>4</v>
      </c>
      <c r="F16" s="294">
        <v>5</v>
      </c>
      <c r="G16" s="294">
        <v>6</v>
      </c>
      <c r="H16" s="294">
        <v>7</v>
      </c>
      <c r="I16" s="294">
        <v>8</v>
      </c>
      <c r="J16" s="294">
        <v>9</v>
      </c>
      <c r="K16" s="294">
        <v>10</v>
      </c>
      <c r="L16" s="294">
        <v>11</v>
      </c>
      <c r="M16" s="294">
        <v>12</v>
      </c>
      <c r="N16" s="294">
        <v>13</v>
      </c>
      <c r="O16" s="294">
        <v>14</v>
      </c>
      <c r="P16" s="294">
        <v>15</v>
      </c>
      <c r="Q16" s="294">
        <v>16</v>
      </c>
      <c r="R16" s="294">
        <v>17</v>
      </c>
      <c r="S16" s="294">
        <v>18</v>
      </c>
      <c r="T16" s="294">
        <v>19</v>
      </c>
      <c r="U16" s="294">
        <v>20</v>
      </c>
      <c r="V16" s="294">
        <v>21</v>
      </c>
      <c r="W16" s="294">
        <v>22</v>
      </c>
      <c r="X16" s="294">
        <v>23</v>
      </c>
      <c r="Y16" s="294">
        <v>24</v>
      </c>
      <c r="Z16" s="294">
        <v>25</v>
      </c>
      <c r="AA16" s="294">
        <v>26</v>
      </c>
      <c r="AB16" s="294">
        <v>27</v>
      </c>
    </row>
    <row r="17" spans="2:28" ht="12.75" customHeight="1" x14ac:dyDescent="0.2">
      <c r="B17" s="293" t="s">
        <v>209</v>
      </c>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row>
    <row r="18" spans="2:28" ht="12" customHeight="1" thickBot="1" x14ac:dyDescent="0.25"/>
    <row r="19" spans="2:28" ht="35.25" customHeight="1" thickBot="1" x14ac:dyDescent="0.25">
      <c r="C19" s="423" t="s">
        <v>226</v>
      </c>
      <c r="D19" s="424"/>
      <c r="E19" s="424"/>
      <c r="F19" s="424"/>
      <c r="G19" s="424"/>
      <c r="H19" s="425"/>
    </row>
    <row r="20" spans="2:28" ht="27.75" customHeight="1" thickBot="1" x14ac:dyDescent="0.25">
      <c r="C20" s="295" t="s">
        <v>229</v>
      </c>
    </row>
    <row r="21" spans="2:28" ht="25.5" x14ac:dyDescent="0.2">
      <c r="C21" s="296" t="s">
        <v>11</v>
      </c>
      <c r="D21" s="370">
        <v>0.13300000000000001</v>
      </c>
      <c r="E21" s="297"/>
    </row>
    <row r="22" spans="2:28" ht="25.5" x14ac:dyDescent="0.2">
      <c r="C22" s="298" t="s">
        <v>20</v>
      </c>
      <c r="D22" s="371">
        <v>5.0000000000000001E-3</v>
      </c>
      <c r="E22" s="299"/>
    </row>
    <row r="23" spans="2:28" ht="18" customHeight="1" thickBot="1" x14ac:dyDescent="0.25">
      <c r="C23" s="300" t="s">
        <v>123</v>
      </c>
      <c r="D23" s="372">
        <v>25</v>
      </c>
      <c r="E23" s="301" t="s">
        <v>236</v>
      </c>
    </row>
    <row r="24" spans="2:28" ht="18" customHeight="1" x14ac:dyDescent="0.2"/>
    <row r="25" spans="2:28" ht="13.5" thickBot="1" x14ac:dyDescent="0.25">
      <c r="C25" s="295" t="s">
        <v>227</v>
      </c>
    </row>
    <row r="26" spans="2:28" ht="18.75" customHeight="1" x14ac:dyDescent="0.2">
      <c r="C26" s="472" t="s">
        <v>206</v>
      </c>
      <c r="D26" s="373">
        <v>10</v>
      </c>
      <c r="E26" s="302" t="s">
        <v>74</v>
      </c>
    </row>
    <row r="27" spans="2:28" ht="18.75" customHeight="1" x14ac:dyDescent="0.2">
      <c r="C27" s="473"/>
      <c r="D27" s="374">
        <v>2.5000000000000001E-2</v>
      </c>
      <c r="E27" s="303" t="s">
        <v>107</v>
      </c>
    </row>
    <row r="28" spans="2:28" ht="25.5" x14ac:dyDescent="0.2">
      <c r="C28" s="304" t="s">
        <v>23</v>
      </c>
      <c r="D28" s="375">
        <v>7.0000000000000007E-2</v>
      </c>
      <c r="E28" s="305" t="s">
        <v>12</v>
      </c>
    </row>
    <row r="29" spans="2:28" ht="26.25" thickBot="1" x14ac:dyDescent="0.25">
      <c r="C29" s="306" t="s">
        <v>224</v>
      </c>
      <c r="D29" s="376">
        <v>10</v>
      </c>
      <c r="E29" s="307" t="s">
        <v>225</v>
      </c>
    </row>
    <row r="31" spans="2:28" ht="13.5" thickBot="1" x14ac:dyDescent="0.25">
      <c r="C31" s="295" t="s">
        <v>228</v>
      </c>
    </row>
    <row r="32" spans="2:28" ht="26.25" customHeight="1" x14ac:dyDescent="0.2">
      <c r="C32" s="308" t="s">
        <v>220</v>
      </c>
      <c r="D32" s="377">
        <v>0.21</v>
      </c>
      <c r="E32" s="462" t="s">
        <v>221</v>
      </c>
      <c r="F32" s="463"/>
      <c r="G32" s="463"/>
      <c r="H32" s="464"/>
    </row>
    <row r="33" spans="3:8" ht="26.25" customHeight="1" thickBot="1" x14ac:dyDescent="0.25">
      <c r="C33" s="309" t="s">
        <v>1</v>
      </c>
      <c r="D33" s="378">
        <v>0.08</v>
      </c>
      <c r="E33" s="465"/>
      <c r="F33" s="466"/>
      <c r="G33" s="466"/>
      <c r="H33" s="467"/>
    </row>
    <row r="34" spans="3:8" ht="26.25" customHeight="1" thickBot="1" x14ac:dyDescent="0.25"/>
    <row r="35" spans="3:8" ht="26.25" customHeight="1" thickBot="1" x14ac:dyDescent="0.25">
      <c r="C35" s="423" t="s">
        <v>231</v>
      </c>
      <c r="D35" s="424"/>
      <c r="E35" s="424"/>
      <c r="F35" s="424"/>
      <c r="G35" s="424"/>
      <c r="H35" s="425"/>
    </row>
    <row r="36" spans="3:8" ht="15.75" customHeight="1" thickBot="1" x14ac:dyDescent="0.25"/>
    <row r="37" spans="3:8" ht="26.25" customHeight="1" thickBot="1" x14ac:dyDescent="0.25">
      <c r="C37" s="310" t="s">
        <v>155</v>
      </c>
      <c r="D37" s="311" t="s">
        <v>92</v>
      </c>
      <c r="E37" s="456" t="s">
        <v>232</v>
      </c>
    </row>
    <row r="38" spans="3:8" ht="18" customHeight="1" x14ac:dyDescent="0.2">
      <c r="C38" s="312" t="s">
        <v>233</v>
      </c>
      <c r="D38" s="379">
        <v>0.06</v>
      </c>
      <c r="E38" s="457"/>
    </row>
    <row r="39" spans="3:8" ht="18" customHeight="1" x14ac:dyDescent="0.2">
      <c r="C39" s="313" t="s">
        <v>137</v>
      </c>
      <c r="D39" s="379">
        <v>0.06</v>
      </c>
      <c r="E39" s="457"/>
    </row>
    <row r="40" spans="3:8" ht="18" customHeight="1" x14ac:dyDescent="0.2">
      <c r="C40" s="313" t="s">
        <v>168</v>
      </c>
      <c r="D40" s="379">
        <v>0.06</v>
      </c>
      <c r="E40" s="457"/>
    </row>
    <row r="41" spans="3:8" ht="18" customHeight="1" x14ac:dyDescent="0.2">
      <c r="C41" s="313" t="s">
        <v>167</v>
      </c>
      <c r="D41" s="379">
        <v>0.06</v>
      </c>
      <c r="E41" s="457"/>
    </row>
    <row r="42" spans="3:8" ht="18" customHeight="1" x14ac:dyDescent="0.2">
      <c r="C42" s="314" t="s">
        <v>234</v>
      </c>
      <c r="D42" s="379">
        <v>0.06</v>
      </c>
      <c r="E42" s="457"/>
    </row>
    <row r="43" spans="3:8" ht="18" customHeight="1" x14ac:dyDescent="0.2">
      <c r="C43" s="313" t="s">
        <v>169</v>
      </c>
      <c r="D43" s="379">
        <v>0.06</v>
      </c>
      <c r="E43" s="457"/>
    </row>
    <row r="44" spans="3:8" ht="18" customHeight="1" x14ac:dyDescent="0.2">
      <c r="C44" s="313" t="s">
        <v>153</v>
      </c>
      <c r="D44" s="379">
        <v>0.06</v>
      </c>
      <c r="E44" s="457"/>
    </row>
    <row r="45" spans="3:8" ht="18" customHeight="1" x14ac:dyDescent="0.2">
      <c r="C45" s="313" t="s">
        <v>159</v>
      </c>
      <c r="D45" s="379">
        <v>0.06</v>
      </c>
      <c r="E45" s="457"/>
    </row>
    <row r="46" spans="3:8" ht="18" customHeight="1" x14ac:dyDescent="0.2">
      <c r="C46" s="313" t="s">
        <v>161</v>
      </c>
      <c r="D46" s="379">
        <v>0.06</v>
      </c>
      <c r="E46" s="457"/>
    </row>
    <row r="47" spans="3:8" ht="18" customHeight="1" thickBot="1" x14ac:dyDescent="0.25">
      <c r="C47" s="315" t="s">
        <v>160</v>
      </c>
      <c r="D47" s="380">
        <v>0.06</v>
      </c>
      <c r="E47" s="458"/>
    </row>
    <row r="48" spans="3:8" ht="29.25" customHeight="1" x14ac:dyDescent="0.2"/>
    <row r="49" spans="3:28" ht="13.5" thickBot="1" x14ac:dyDescent="0.25"/>
    <row r="50" spans="3:28" ht="23.25" customHeight="1" thickBot="1" x14ac:dyDescent="0.25">
      <c r="C50" s="423" t="s">
        <v>230</v>
      </c>
      <c r="D50" s="424"/>
      <c r="E50" s="424"/>
      <c r="F50" s="424"/>
      <c r="G50" s="424"/>
      <c r="H50" s="425"/>
    </row>
    <row r="51" spans="3:28" ht="23.25" customHeight="1" thickBot="1" x14ac:dyDescent="0.25"/>
    <row r="52" spans="3:28" ht="23.25" customHeight="1" thickBot="1" x14ac:dyDescent="0.25">
      <c r="C52" s="316" t="s">
        <v>259</v>
      </c>
      <c r="D52" s="317"/>
      <c r="E52" s="318" t="s">
        <v>195</v>
      </c>
      <c r="F52" s="319">
        <f>'Model Info'!$E$2</f>
        <v>44679</v>
      </c>
    </row>
    <row r="53" spans="3:28" ht="16.5" thickBot="1" x14ac:dyDescent="0.25">
      <c r="C53" s="426" t="s">
        <v>216</v>
      </c>
      <c r="D53" s="427"/>
      <c r="E53" s="428"/>
      <c r="F53" s="432" t="s">
        <v>217</v>
      </c>
      <c r="G53" s="433"/>
      <c r="H53" s="433"/>
      <c r="I53" s="433"/>
      <c r="J53" s="433"/>
      <c r="K53" s="433"/>
      <c r="L53" s="433"/>
      <c r="M53" s="433"/>
      <c r="N53" s="434"/>
      <c r="O53" s="438" t="s">
        <v>218</v>
      </c>
      <c r="P53" s="439"/>
      <c r="Q53" s="439"/>
      <c r="R53" s="440"/>
      <c r="S53" s="484" t="s">
        <v>219</v>
      </c>
      <c r="T53" s="485"/>
      <c r="U53" s="485"/>
      <c r="V53" s="485"/>
      <c r="W53" s="485"/>
      <c r="X53" s="485"/>
      <c r="Y53" s="485"/>
      <c r="Z53" s="485"/>
      <c r="AA53" s="485"/>
      <c r="AB53" s="486"/>
    </row>
    <row r="54" spans="3:28" ht="13.5" thickBot="1" x14ac:dyDescent="0.25">
      <c r="C54" s="429"/>
      <c r="D54" s="430"/>
      <c r="E54" s="431"/>
      <c r="F54" s="435"/>
      <c r="G54" s="436"/>
      <c r="H54" s="436"/>
      <c r="I54" s="436"/>
      <c r="J54" s="436"/>
      <c r="K54" s="436"/>
      <c r="L54" s="436"/>
      <c r="M54" s="436"/>
      <c r="N54" s="437"/>
      <c r="O54" s="441"/>
      <c r="P54" s="442"/>
      <c r="Q54" s="442"/>
      <c r="R54" s="443"/>
      <c r="S54" s="480" t="s">
        <v>144</v>
      </c>
      <c r="T54" s="478"/>
      <c r="U54" s="478"/>
      <c r="V54" s="481"/>
      <c r="W54" s="216"/>
      <c r="X54" s="216"/>
      <c r="Y54" s="477" t="s">
        <v>145</v>
      </c>
      <c r="Z54" s="478"/>
      <c r="AA54" s="478"/>
      <c r="AB54" s="479"/>
    </row>
    <row r="55" spans="3:28" ht="46.5" customHeight="1" x14ac:dyDescent="0.2">
      <c r="C55" s="444" t="s">
        <v>176</v>
      </c>
      <c r="D55" s="446" t="s">
        <v>192</v>
      </c>
      <c r="E55" s="448" t="s">
        <v>187</v>
      </c>
      <c r="F55" s="217" t="s">
        <v>115</v>
      </c>
      <c r="G55" s="217" t="s">
        <v>116</v>
      </c>
      <c r="H55" s="452" t="s">
        <v>125</v>
      </c>
      <c r="I55" s="450" t="s">
        <v>126</v>
      </c>
      <c r="J55" s="218" t="s">
        <v>222</v>
      </c>
      <c r="K55" s="452" t="s">
        <v>85</v>
      </c>
      <c r="L55" s="218" t="s">
        <v>109</v>
      </c>
      <c r="M55" s="218" t="s">
        <v>122</v>
      </c>
      <c r="N55" s="218" t="s">
        <v>114</v>
      </c>
      <c r="O55" s="454" t="s">
        <v>84</v>
      </c>
      <c r="P55" s="454" t="s">
        <v>139</v>
      </c>
      <c r="Q55" s="219" t="s">
        <v>210</v>
      </c>
      <c r="R55" s="219" t="s">
        <v>211</v>
      </c>
      <c r="S55" s="482" t="s">
        <v>88</v>
      </c>
      <c r="T55" s="482" t="s">
        <v>89</v>
      </c>
      <c r="U55" s="220" t="s">
        <v>90</v>
      </c>
      <c r="V55" s="220" t="s">
        <v>141</v>
      </c>
      <c r="W55" s="220" t="s">
        <v>118</v>
      </c>
      <c r="X55" s="482" t="s">
        <v>119</v>
      </c>
      <c r="Y55" s="482" t="s">
        <v>88</v>
      </c>
      <c r="Z55" s="482" t="s">
        <v>89</v>
      </c>
      <c r="AA55" s="220" t="s">
        <v>90</v>
      </c>
      <c r="AB55" s="221" t="s">
        <v>141</v>
      </c>
    </row>
    <row r="56" spans="3:28" ht="23.25" thickBot="1" x14ac:dyDescent="0.25">
      <c r="C56" s="445"/>
      <c r="D56" s="447"/>
      <c r="E56" s="449"/>
      <c r="F56" s="222" t="s">
        <v>170</v>
      </c>
      <c r="G56" s="222" t="s">
        <v>117</v>
      </c>
      <c r="H56" s="471"/>
      <c r="I56" s="451"/>
      <c r="J56" s="223" t="s">
        <v>87</v>
      </c>
      <c r="K56" s="453"/>
      <c r="L56" s="224" t="s">
        <v>87</v>
      </c>
      <c r="M56" s="224" t="s">
        <v>91</v>
      </c>
      <c r="N56" s="224" t="s">
        <v>110</v>
      </c>
      <c r="O56" s="455"/>
      <c r="P56" s="455"/>
      <c r="Q56" s="421" t="s">
        <v>223</v>
      </c>
      <c r="R56" s="422"/>
      <c r="S56" s="483"/>
      <c r="T56" s="483"/>
      <c r="U56" s="225" t="s">
        <v>91</v>
      </c>
      <c r="V56" s="226" t="s">
        <v>142</v>
      </c>
      <c r="W56" s="227" t="s">
        <v>120</v>
      </c>
      <c r="X56" s="483"/>
      <c r="Y56" s="483"/>
      <c r="Z56" s="483"/>
      <c r="AA56" s="225" t="s">
        <v>91</v>
      </c>
      <c r="AB56" s="228" t="s">
        <v>142</v>
      </c>
    </row>
    <row r="57" spans="3:28" ht="18" customHeight="1" thickTop="1" thickBot="1" x14ac:dyDescent="0.25">
      <c r="C57" s="418"/>
      <c r="D57" s="419"/>
      <c r="E57" s="420"/>
      <c r="F57" s="230">
        <v>2.1</v>
      </c>
      <c r="G57" s="417">
        <v>1000</v>
      </c>
      <c r="H57" s="231">
        <v>0.26</v>
      </c>
      <c r="I57" s="232">
        <v>0</v>
      </c>
      <c r="J57" s="233">
        <v>0.15</v>
      </c>
      <c r="K57" s="234">
        <v>0.02</v>
      </c>
      <c r="L57" s="235">
        <v>0.2</v>
      </c>
      <c r="M57" s="236">
        <v>20</v>
      </c>
      <c r="N57" s="237">
        <v>25</v>
      </c>
      <c r="O57" s="238"/>
      <c r="P57" s="238"/>
      <c r="Q57" s="239"/>
      <c r="R57" s="239"/>
      <c r="S57" s="240">
        <v>0.4</v>
      </c>
      <c r="T57" s="234">
        <v>0.06</v>
      </c>
      <c r="U57" s="241"/>
      <c r="V57" s="241"/>
      <c r="W57" s="241"/>
      <c r="X57" s="241"/>
      <c r="Y57" s="238"/>
      <c r="Z57" s="238"/>
      <c r="AA57" s="242"/>
      <c r="AB57" s="243"/>
    </row>
    <row r="58" spans="3:28" ht="18" customHeight="1" thickTop="1" x14ac:dyDescent="0.2">
      <c r="C58" s="245" t="s">
        <v>86</v>
      </c>
      <c r="D58" s="246" t="s">
        <v>165</v>
      </c>
      <c r="E58" s="247" t="s">
        <v>191</v>
      </c>
      <c r="F58" s="248">
        <v>2.1</v>
      </c>
      <c r="G58" s="249">
        <v>1000</v>
      </c>
      <c r="H58" s="250">
        <v>0.26</v>
      </c>
      <c r="I58" s="251">
        <v>0</v>
      </c>
      <c r="J58" s="252">
        <v>0.15</v>
      </c>
      <c r="K58" s="253">
        <v>0.02</v>
      </c>
      <c r="L58" s="252">
        <v>0.2</v>
      </c>
      <c r="M58" s="249">
        <v>20</v>
      </c>
      <c r="N58" s="254">
        <v>25</v>
      </c>
      <c r="O58" s="255">
        <v>0.1</v>
      </c>
      <c r="P58" s="255">
        <v>0.2</v>
      </c>
      <c r="Q58" s="256">
        <v>12500</v>
      </c>
      <c r="R58" s="256">
        <v>12500</v>
      </c>
      <c r="S58" s="257">
        <v>0.4</v>
      </c>
      <c r="T58" s="258">
        <v>0.06</v>
      </c>
      <c r="U58" s="259">
        <v>15</v>
      </c>
      <c r="V58" s="259" t="s">
        <v>106</v>
      </c>
      <c r="W58" s="260">
        <v>0</v>
      </c>
      <c r="X58" s="259"/>
      <c r="Y58" s="261"/>
      <c r="Z58" s="261"/>
      <c r="AA58" s="259"/>
      <c r="AB58" s="262"/>
    </row>
    <row r="59" spans="3:28" ht="18" customHeight="1" x14ac:dyDescent="0.2">
      <c r="C59" s="263" t="s">
        <v>150</v>
      </c>
      <c r="D59" s="246" t="s">
        <v>165</v>
      </c>
      <c r="E59" s="247" t="s">
        <v>191</v>
      </c>
      <c r="F59" s="248">
        <v>2.1</v>
      </c>
      <c r="G59" s="249">
        <v>1000</v>
      </c>
      <c r="H59" s="264">
        <v>0.26</v>
      </c>
      <c r="I59" s="265">
        <v>0</v>
      </c>
      <c r="J59" s="252">
        <v>0.15</v>
      </c>
      <c r="K59" s="253">
        <v>0.02</v>
      </c>
      <c r="L59" s="252">
        <v>0.2</v>
      </c>
      <c r="M59" s="266">
        <v>20</v>
      </c>
      <c r="N59" s="254">
        <v>25</v>
      </c>
      <c r="O59" s="267">
        <v>0.1</v>
      </c>
      <c r="P59" s="267">
        <v>0.6</v>
      </c>
      <c r="Q59" s="268">
        <v>12500</v>
      </c>
      <c r="R59" s="268">
        <v>12500</v>
      </c>
      <c r="S59" s="257">
        <v>0.4</v>
      </c>
      <c r="T59" s="258">
        <v>0.06</v>
      </c>
      <c r="U59" s="269">
        <v>10</v>
      </c>
      <c r="V59" s="259" t="s">
        <v>106</v>
      </c>
      <c r="W59" s="270">
        <v>10</v>
      </c>
      <c r="X59" s="269">
        <v>0.25</v>
      </c>
      <c r="Y59" s="269">
        <v>0.4</v>
      </c>
      <c r="Z59" s="269">
        <v>0.06</v>
      </c>
      <c r="AA59" s="269">
        <v>10</v>
      </c>
      <c r="AB59" s="271" t="s">
        <v>105</v>
      </c>
    </row>
    <row r="60" spans="3:28" ht="18" customHeight="1" x14ac:dyDescent="0.2">
      <c r="C60" s="272" t="s">
        <v>151</v>
      </c>
      <c r="D60" s="246" t="s">
        <v>154</v>
      </c>
      <c r="E60" s="247" t="s">
        <v>191</v>
      </c>
      <c r="F60" s="248">
        <v>2.1</v>
      </c>
      <c r="G60" s="249">
        <v>1000</v>
      </c>
      <c r="H60" s="250">
        <v>0.26</v>
      </c>
      <c r="I60" s="265">
        <v>0</v>
      </c>
      <c r="J60" s="252">
        <v>0.15</v>
      </c>
      <c r="K60" s="253">
        <v>0.02</v>
      </c>
      <c r="L60" s="252">
        <v>0.2</v>
      </c>
      <c r="M60" s="249">
        <v>20</v>
      </c>
      <c r="N60" s="254">
        <v>25</v>
      </c>
      <c r="O60" s="273">
        <v>0.25</v>
      </c>
      <c r="P60" s="273">
        <v>1</v>
      </c>
      <c r="Q60" s="268">
        <v>5000</v>
      </c>
      <c r="R60" s="268">
        <v>5000</v>
      </c>
      <c r="S60" s="257">
        <v>0.4</v>
      </c>
      <c r="T60" s="258">
        <v>0.06</v>
      </c>
      <c r="U60" s="269">
        <v>15</v>
      </c>
      <c r="V60" s="259" t="s">
        <v>105</v>
      </c>
      <c r="W60" s="260">
        <v>0</v>
      </c>
      <c r="X60" s="259"/>
      <c r="Y60" s="261"/>
      <c r="Z60" s="261"/>
      <c r="AA60" s="259"/>
      <c r="AB60" s="262"/>
    </row>
    <row r="61" spans="3:28" ht="18" customHeight="1" x14ac:dyDescent="0.2">
      <c r="C61" s="272" t="s">
        <v>152</v>
      </c>
      <c r="D61" s="246" t="s">
        <v>154</v>
      </c>
      <c r="E61" s="247" t="s">
        <v>189</v>
      </c>
      <c r="F61" s="248">
        <v>2.1</v>
      </c>
      <c r="G61" s="249">
        <v>1000</v>
      </c>
      <c r="H61" s="250">
        <v>0.26</v>
      </c>
      <c r="I61" s="265">
        <v>0</v>
      </c>
      <c r="J61" s="252">
        <v>0.15</v>
      </c>
      <c r="K61" s="253">
        <v>0.02</v>
      </c>
      <c r="L61" s="252">
        <v>0.2</v>
      </c>
      <c r="M61" s="249">
        <v>20</v>
      </c>
      <c r="N61" s="254">
        <v>25</v>
      </c>
      <c r="O61" s="267">
        <v>0.15</v>
      </c>
      <c r="P61" s="267">
        <v>1</v>
      </c>
      <c r="Q61" s="268">
        <v>5000</v>
      </c>
      <c r="R61" s="268">
        <v>5000</v>
      </c>
      <c r="S61" s="257">
        <v>0.4</v>
      </c>
      <c r="T61" s="258">
        <v>0.06</v>
      </c>
      <c r="U61" s="269">
        <v>15</v>
      </c>
      <c r="V61" s="259" t="s">
        <v>105</v>
      </c>
      <c r="W61" s="270">
        <v>0</v>
      </c>
      <c r="X61" s="274"/>
      <c r="Y61" s="274"/>
      <c r="Z61" s="274"/>
      <c r="AA61" s="274"/>
      <c r="AB61" s="271"/>
    </row>
    <row r="62" spans="3:28" ht="13.5" thickBot="1" x14ac:dyDescent="0.25">
      <c r="C62" s="275"/>
      <c r="D62" s="276"/>
      <c r="E62" s="277"/>
      <c r="F62" s="278"/>
      <c r="G62" s="278"/>
      <c r="H62" s="278"/>
      <c r="I62" s="278"/>
      <c r="J62" s="279"/>
      <c r="K62" s="280"/>
      <c r="L62" s="280"/>
      <c r="M62" s="280"/>
      <c r="N62" s="280"/>
      <c r="O62" s="281"/>
      <c r="P62" s="281"/>
      <c r="Q62" s="282"/>
      <c r="R62" s="283"/>
      <c r="S62" s="284"/>
      <c r="T62" s="285"/>
      <c r="U62" s="286"/>
      <c r="V62" s="287"/>
      <c r="W62" s="288"/>
      <c r="X62" s="289"/>
      <c r="Y62" s="289"/>
      <c r="Z62" s="289"/>
      <c r="AA62" s="289"/>
      <c r="AB62" s="290"/>
    </row>
    <row r="67" spans="3:7" ht="13.5" thickBot="1" x14ac:dyDescent="0.25"/>
    <row r="68" spans="3:7" x14ac:dyDescent="0.2">
      <c r="C68" s="320" t="s">
        <v>193</v>
      </c>
      <c r="D68" s="321"/>
      <c r="E68" s="322" t="s">
        <v>188</v>
      </c>
      <c r="F68" s="323" t="s">
        <v>65</v>
      </c>
      <c r="G68" s="324" t="s">
        <v>175</v>
      </c>
    </row>
    <row r="69" spans="3:7" x14ac:dyDescent="0.2">
      <c r="C69" s="325" t="s">
        <v>189</v>
      </c>
      <c r="D69" s="326"/>
      <c r="E69" s="327" t="s">
        <v>79</v>
      </c>
      <c r="F69" s="328" t="s">
        <v>100</v>
      </c>
      <c r="G69" s="329" t="s">
        <v>105</v>
      </c>
    </row>
    <row r="70" spans="3:7" x14ac:dyDescent="0.2">
      <c r="C70" s="325" t="s">
        <v>191</v>
      </c>
      <c r="D70" s="326"/>
      <c r="E70" s="327" t="s">
        <v>78</v>
      </c>
      <c r="F70" s="328" t="s">
        <v>101</v>
      </c>
      <c r="G70" s="329" t="s">
        <v>105</v>
      </c>
    </row>
    <row r="71" spans="3:7" ht="13.5" thickBot="1" x14ac:dyDescent="0.25">
      <c r="C71" s="330" t="s">
        <v>190</v>
      </c>
      <c r="D71" s="331"/>
      <c r="E71" s="332" t="s">
        <v>80</v>
      </c>
      <c r="F71" s="333" t="s">
        <v>101</v>
      </c>
      <c r="G71" s="334" t="s">
        <v>106</v>
      </c>
    </row>
  </sheetData>
  <sheetProtection algorithmName="SHA-512" hashValue="t4HFsltPSLtcLR1EezAneXXh1mUztoYxn/Dn+bVh91Wm5u8iFsnomPrI2/kfhATtij2rHUFd5Te9esjGfYaa9Q==" saltValue="fINeYAwBTw6F+IbiQo9IRA==" spinCount="100000" sheet="1" objects="1" scenarios="1"/>
  <sortState xmlns:xlrd2="http://schemas.microsoft.com/office/spreadsheetml/2017/richdata2" ref="AC10:AC14">
    <sortCondition ref="AC10:AC14"/>
  </sortState>
  <mergeCells count="53">
    <mergeCell ref="S55:S56"/>
    <mergeCell ref="T55:T56"/>
    <mergeCell ref="X55:X56"/>
    <mergeCell ref="T7:T8"/>
    <mergeCell ref="X7:X8"/>
    <mergeCell ref="S53:AB53"/>
    <mergeCell ref="Y55:Y56"/>
    <mergeCell ref="Z55:Z56"/>
    <mergeCell ref="Y15:AB15"/>
    <mergeCell ref="S54:V54"/>
    <mergeCell ref="Y54:AB54"/>
    <mergeCell ref="Y6:AB6"/>
    <mergeCell ref="S6:V6"/>
    <mergeCell ref="S7:S8"/>
    <mergeCell ref="D7:D8"/>
    <mergeCell ref="S5:AB5"/>
    <mergeCell ref="Y7:Y8"/>
    <mergeCell ref="Z7:Z8"/>
    <mergeCell ref="O7:O8"/>
    <mergeCell ref="P7:P8"/>
    <mergeCell ref="O5:R6"/>
    <mergeCell ref="Q8:R8"/>
    <mergeCell ref="L15:M15"/>
    <mergeCell ref="S15:V15"/>
    <mergeCell ref="C5:E6"/>
    <mergeCell ref="F5:N6"/>
    <mergeCell ref="C19:H19"/>
    <mergeCell ref="C7:C8"/>
    <mergeCell ref="E7:E8"/>
    <mergeCell ref="K7:K8"/>
    <mergeCell ref="I7:I8"/>
    <mergeCell ref="H7:H8"/>
    <mergeCell ref="C9:E9"/>
    <mergeCell ref="C2:G2"/>
    <mergeCell ref="E32:H33"/>
    <mergeCell ref="C3:G3"/>
    <mergeCell ref="H55:H56"/>
    <mergeCell ref="C26:C27"/>
    <mergeCell ref="C57:E57"/>
    <mergeCell ref="Q56:R56"/>
    <mergeCell ref="C35:H35"/>
    <mergeCell ref="C53:E54"/>
    <mergeCell ref="F53:N54"/>
    <mergeCell ref="O53:R54"/>
    <mergeCell ref="C55:C56"/>
    <mergeCell ref="D55:D56"/>
    <mergeCell ref="E55:E56"/>
    <mergeCell ref="I55:I56"/>
    <mergeCell ref="K55:K56"/>
    <mergeCell ref="O55:O56"/>
    <mergeCell ref="P55:P56"/>
    <mergeCell ref="C50:H50"/>
    <mergeCell ref="E37:E47"/>
  </mergeCells>
  <phoneticPr fontId="10" type="noConversion"/>
  <conditionalFormatting sqref="X10:X12 Y11:AA11">
    <cfRule type="cellIs" dxfId="21" priority="7" operator="lessThan">
      <formula>1</formula>
    </cfRule>
    <cfRule type="cellIs" dxfId="20" priority="8" operator="greaterThan">
      <formula>1</formula>
    </cfRule>
    <cfRule type="cellIs" dxfId="19" priority="9" operator="greaterThan">
      <formula>1</formula>
    </cfRule>
  </conditionalFormatting>
  <conditionalFormatting sqref="X58:X60 Y59:AA59">
    <cfRule type="cellIs" dxfId="18" priority="1" operator="lessThan">
      <formula>1</formula>
    </cfRule>
    <cfRule type="cellIs" dxfId="17" priority="2" operator="greaterThan">
      <formula>1</formula>
    </cfRule>
    <cfRule type="cellIs" dxfId="16" priority="3" operator="greaterThan">
      <formula>1</formula>
    </cfRule>
  </conditionalFormatting>
  <dataValidations count="3">
    <dataValidation type="list" allowBlank="1" showInputMessage="1" showErrorMessage="1" sqref="V10:V13 AB11 V58:V61 AB59" xr:uid="{381AB228-03DC-4567-BE69-E6333EDA8292}">
      <formula1>"Yes, No"</formula1>
    </dataValidation>
    <dataValidation type="list" showInputMessage="1" showErrorMessage="1" sqref="E10:E14 E58:E62" xr:uid="{00000000-0002-0000-0200-000000000000}">
      <formula1>$C$69:$C$71</formula1>
    </dataValidation>
    <dataValidation type="list" allowBlank="1" showInputMessage="1" showErrorMessage="1" sqref="D10:D13 D58:D61" xr:uid="{06C5832C-9008-4ACF-8D06-DC4459116E14}">
      <formula1>"Outside Economy, Local Economy"</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R46"/>
  <sheetViews>
    <sheetView showGridLines="0" zoomScale="60" zoomScaleNormal="60" workbookViewId="0">
      <selection activeCell="F6" sqref="F6"/>
    </sheetView>
  </sheetViews>
  <sheetFormatPr defaultRowHeight="12.75" x14ac:dyDescent="0.2"/>
  <cols>
    <col min="1" max="1" width="1.85546875" style="381" customWidth="1"/>
    <col min="2" max="2" width="20.140625" style="381" customWidth="1"/>
    <col min="3" max="3" width="42.85546875" style="381" customWidth="1"/>
    <col min="4" max="4" width="56.42578125" style="381" customWidth="1"/>
    <col min="5" max="11" width="17.28515625" style="381" customWidth="1"/>
    <col min="12" max="16384" width="9.140625" style="381"/>
  </cols>
  <sheetData>
    <row r="1" spans="1:18" ht="13.5" thickBot="1" x14ac:dyDescent="0.25">
      <c r="A1" s="382"/>
      <c r="B1" s="382"/>
      <c r="C1" s="382"/>
      <c r="D1" s="382"/>
      <c r="E1" s="382"/>
      <c r="F1" s="382"/>
      <c r="G1" s="382"/>
      <c r="H1" s="382"/>
      <c r="I1" s="382"/>
      <c r="J1" s="382"/>
      <c r="K1" s="382"/>
    </row>
    <row r="2" spans="1:18" ht="33" customHeight="1" x14ac:dyDescent="0.2">
      <c r="A2" s="382"/>
      <c r="B2" s="382"/>
      <c r="C2" s="487" t="s">
        <v>199</v>
      </c>
      <c r="D2" s="489" t="s">
        <v>198</v>
      </c>
      <c r="E2" s="491" t="s">
        <v>248</v>
      </c>
      <c r="F2" s="492"/>
      <c r="G2" s="492"/>
      <c r="H2" s="493"/>
      <c r="I2" s="494" t="s">
        <v>249</v>
      </c>
      <c r="J2" s="495"/>
      <c r="K2" s="496"/>
    </row>
    <row r="3" spans="1:18" ht="58.5" customHeight="1" thickBot="1" x14ac:dyDescent="0.25">
      <c r="A3" s="382"/>
      <c r="B3" s="382"/>
      <c r="C3" s="488"/>
      <c r="D3" s="490"/>
      <c r="E3" s="383" t="s">
        <v>247</v>
      </c>
      <c r="F3" s="384" t="s">
        <v>201</v>
      </c>
      <c r="G3" s="385" t="s">
        <v>239</v>
      </c>
      <c r="H3" s="386" t="s">
        <v>204</v>
      </c>
      <c r="I3" s="387" t="s">
        <v>247</v>
      </c>
      <c r="J3" s="388" t="s">
        <v>201</v>
      </c>
      <c r="K3" s="389" t="s">
        <v>239</v>
      </c>
    </row>
    <row r="4" spans="1:18" ht="174.75" customHeight="1" thickBot="1" x14ac:dyDescent="0.25">
      <c r="A4" s="382"/>
      <c r="B4" s="403" t="s">
        <v>86</v>
      </c>
      <c r="C4" s="406"/>
      <c r="D4" s="407"/>
      <c r="E4" s="390">
        <f>ROUND('Cash Flow Tables'!$C$21,-3)</f>
        <v>371000</v>
      </c>
      <c r="F4" s="391">
        <f>'Cash Flow Tables'!$C$25</f>
        <v>0</v>
      </c>
      <c r="G4" s="392" t="str">
        <f>'Cash Flow Tables'!$D$14</f>
        <v/>
      </c>
      <c r="H4" s="393" t="str">
        <f>'Cash Flow Tables'!$D$15</f>
        <v/>
      </c>
      <c r="I4" s="394">
        <f>ROUND('Cash Flow Tables'!$C$22,-3)</f>
        <v>989000</v>
      </c>
      <c r="J4" s="395">
        <f>'Cash Flow Tables'!$C$26</f>
        <v>1554000</v>
      </c>
      <c r="K4" s="396">
        <f>'Cash Flow Tables'!$D$10</f>
        <v>0.13134239814912063</v>
      </c>
      <c r="R4" s="416"/>
    </row>
    <row r="5" spans="1:18" ht="174.75" customHeight="1" thickBot="1" x14ac:dyDescent="0.25">
      <c r="A5" s="382"/>
      <c r="B5" s="404" t="s">
        <v>150</v>
      </c>
      <c r="C5" s="408"/>
      <c r="D5" s="409"/>
      <c r="E5" s="397">
        <f>ROUND('Cash Flow Tables'!$C$42, -3)</f>
        <v>888000</v>
      </c>
      <c r="F5" s="398">
        <f>'Cash Flow Tables'!$C$46</f>
        <v>525000</v>
      </c>
      <c r="G5" s="392" t="str">
        <f>'Cash Flow Tables'!$D$35</f>
        <v/>
      </c>
      <c r="H5" s="393">
        <f>'Cash Flow Tables'!$D$36</f>
        <v>0.37249328552534489</v>
      </c>
      <c r="I5" s="399">
        <f>ROUND('Cash Flow Tables'!$C$43, -3)</f>
        <v>408000</v>
      </c>
      <c r="J5" s="400">
        <f>'Cash Flow Tables'!$C$47</f>
        <v>1029000</v>
      </c>
      <c r="K5" s="396">
        <f>'Cash Flow Tables'!$D$31</f>
        <v>7.1940916775407482E-2</v>
      </c>
      <c r="M5" s="416"/>
      <c r="N5" s="416"/>
      <c r="O5" s="416"/>
      <c r="P5" s="416"/>
    </row>
    <row r="6" spans="1:18" ht="174.75" customHeight="1" thickBot="1" x14ac:dyDescent="0.25">
      <c r="A6" s="382"/>
      <c r="B6" s="405" t="s">
        <v>197</v>
      </c>
      <c r="C6" s="410"/>
      <c r="D6" s="411"/>
      <c r="E6" s="401">
        <f>ROUND('Cash Flow Tables'!$C$63, -3)</f>
        <v>1413000</v>
      </c>
      <c r="F6" s="398">
        <f>'Cash Flow Tables'!$C$67</f>
        <v>1554000</v>
      </c>
      <c r="G6" s="392">
        <f>'Cash Flow Tables'!$D$56</f>
        <v>0.10897656306580461</v>
      </c>
      <c r="H6" s="393" t="str">
        <f>'Cash Flow Tables'!$D$57</f>
        <v/>
      </c>
      <c r="I6" s="402">
        <f>ROUND('Cash Flow Tables'!$C$64, -3)</f>
        <v>0</v>
      </c>
      <c r="J6" s="400">
        <f>'Cash Flow Tables'!$C$68</f>
        <v>0</v>
      </c>
      <c r="K6" s="396" t="str">
        <f>'Cash Flow Tables'!$D$52</f>
        <v/>
      </c>
      <c r="P6" s="416"/>
    </row>
    <row r="7" spans="1:18" ht="174.75" customHeight="1" thickBot="1" x14ac:dyDescent="0.25">
      <c r="A7" s="382"/>
      <c r="B7" s="403" t="s">
        <v>196</v>
      </c>
      <c r="C7" s="412"/>
      <c r="D7" s="413"/>
      <c r="E7" s="390">
        <f>ROUND('Cash Flow Tables'!$C$84, -3)</f>
        <v>1096000</v>
      </c>
      <c r="F7" s="391">
        <f>'Cash Flow Tables'!$C$88</f>
        <v>2100000</v>
      </c>
      <c r="G7" s="392">
        <f>'Cash Flow Tables'!$D$77</f>
        <v>6.7806366049502742E-2</v>
      </c>
      <c r="H7" s="393" t="str">
        <f>'Cash Flow Tables'!$D$78</f>
        <v/>
      </c>
      <c r="I7" s="394">
        <f>ROUND('Cash Flow Tables'!$C$85, -3)</f>
        <v>0</v>
      </c>
      <c r="J7" s="395">
        <f>'Cash Flow Tables'!$C$89</f>
        <v>0</v>
      </c>
      <c r="K7" s="396" t="str">
        <f>'Cash Flow Tables'!$D$73</f>
        <v/>
      </c>
    </row>
    <row r="8" spans="1:18" x14ac:dyDescent="0.2">
      <c r="A8" s="382"/>
      <c r="B8" s="382"/>
      <c r="C8" s="382"/>
      <c r="D8" s="382"/>
      <c r="E8" s="382"/>
      <c r="F8" s="382"/>
      <c r="G8" s="382"/>
      <c r="H8" s="382"/>
      <c r="I8" s="382"/>
      <c r="J8" s="382"/>
      <c r="K8" s="382"/>
    </row>
    <row r="9" spans="1:18" x14ac:dyDescent="0.2">
      <c r="A9" s="382"/>
      <c r="B9" s="382"/>
      <c r="C9" s="382"/>
      <c r="D9" s="382"/>
      <c r="E9" s="382"/>
      <c r="F9" s="382"/>
      <c r="G9" s="382"/>
      <c r="H9" s="382"/>
      <c r="I9" s="382"/>
      <c r="J9" s="382"/>
      <c r="K9" s="382"/>
    </row>
    <row r="10" spans="1:18" x14ac:dyDescent="0.2">
      <c r="A10" s="382"/>
      <c r="B10" s="382"/>
      <c r="C10" s="382"/>
      <c r="D10" s="382"/>
      <c r="E10" s="382"/>
      <c r="F10" s="382"/>
      <c r="G10" s="382"/>
      <c r="H10" s="382"/>
      <c r="I10" s="382"/>
      <c r="J10" s="382"/>
      <c r="K10" s="382"/>
    </row>
    <row r="11" spans="1:18" x14ac:dyDescent="0.2">
      <c r="A11" s="382"/>
      <c r="B11" s="382"/>
      <c r="C11" s="382"/>
      <c r="D11" s="382"/>
      <c r="E11" s="382"/>
      <c r="F11" s="382"/>
      <c r="G11" s="382"/>
      <c r="H11" s="382"/>
      <c r="I11" s="382"/>
      <c r="J11" s="382"/>
      <c r="K11" s="382"/>
    </row>
    <row r="12" spans="1:18" x14ac:dyDescent="0.2">
      <c r="A12" s="382"/>
      <c r="B12" s="382"/>
      <c r="C12" s="382"/>
      <c r="D12" s="382"/>
      <c r="E12" s="382"/>
      <c r="F12" s="382"/>
      <c r="G12" s="382"/>
      <c r="H12" s="382"/>
      <c r="I12" s="382"/>
      <c r="J12" s="382"/>
      <c r="K12" s="382"/>
    </row>
    <row r="13" spans="1:18" x14ac:dyDescent="0.2">
      <c r="A13" s="382"/>
      <c r="B13" s="382"/>
      <c r="C13" s="382"/>
      <c r="D13" s="382"/>
      <c r="E13" s="382"/>
      <c r="F13" s="382"/>
      <c r="G13" s="382"/>
      <c r="H13" s="382"/>
      <c r="I13" s="382"/>
      <c r="J13" s="382"/>
      <c r="K13" s="382"/>
    </row>
    <row r="14" spans="1:18" x14ac:dyDescent="0.2">
      <c r="A14" s="382"/>
      <c r="B14" s="382"/>
      <c r="C14" s="382"/>
      <c r="D14" s="382"/>
      <c r="E14" s="382"/>
      <c r="F14" s="382"/>
      <c r="G14" s="382"/>
      <c r="H14" s="382"/>
      <c r="I14" s="382"/>
      <c r="J14" s="382"/>
      <c r="K14" s="382"/>
    </row>
    <row r="15" spans="1:18" x14ac:dyDescent="0.2">
      <c r="A15" s="382"/>
      <c r="B15" s="382"/>
      <c r="C15" s="382"/>
      <c r="D15" s="382"/>
      <c r="E15" s="382"/>
      <c r="F15" s="382"/>
      <c r="G15" s="382"/>
      <c r="H15" s="382"/>
      <c r="I15" s="382"/>
      <c r="J15" s="382"/>
      <c r="K15" s="382"/>
    </row>
    <row r="16" spans="1:18" x14ac:dyDescent="0.2">
      <c r="A16" s="382"/>
      <c r="B16" s="382"/>
      <c r="C16" s="382"/>
      <c r="D16" s="382"/>
      <c r="E16" s="382"/>
      <c r="F16" s="382"/>
      <c r="G16" s="382"/>
      <c r="H16" s="382"/>
      <c r="I16" s="382"/>
      <c r="J16" s="382"/>
      <c r="K16" s="382"/>
    </row>
    <row r="17" spans="1:11" x14ac:dyDescent="0.2">
      <c r="A17" s="382"/>
      <c r="B17" s="382"/>
      <c r="C17" s="382"/>
      <c r="D17" s="382"/>
      <c r="E17" s="382"/>
      <c r="F17" s="382"/>
      <c r="G17" s="382"/>
      <c r="H17" s="382"/>
      <c r="I17" s="382"/>
      <c r="J17" s="382"/>
      <c r="K17" s="382"/>
    </row>
    <row r="18" spans="1:11" x14ac:dyDescent="0.2">
      <c r="A18" s="382"/>
      <c r="B18" s="382"/>
      <c r="C18" s="382"/>
      <c r="D18" s="382"/>
      <c r="E18" s="382"/>
      <c r="F18" s="382"/>
      <c r="G18" s="382"/>
      <c r="H18" s="382"/>
      <c r="I18" s="382"/>
      <c r="J18" s="382"/>
      <c r="K18" s="382"/>
    </row>
    <row r="19" spans="1:11" x14ac:dyDescent="0.2">
      <c r="A19" s="382"/>
      <c r="B19" s="382"/>
      <c r="C19" s="382"/>
      <c r="D19" s="382"/>
      <c r="E19" s="382"/>
      <c r="F19" s="382"/>
      <c r="G19" s="382"/>
      <c r="H19" s="382"/>
      <c r="I19" s="382"/>
      <c r="J19" s="382"/>
      <c r="K19" s="382"/>
    </row>
    <row r="20" spans="1:11" x14ac:dyDescent="0.2">
      <c r="A20" s="382"/>
      <c r="B20" s="382"/>
      <c r="C20" s="382"/>
      <c r="D20" s="382"/>
      <c r="E20" s="382"/>
      <c r="F20" s="382"/>
      <c r="G20" s="382"/>
      <c r="H20" s="382"/>
      <c r="I20" s="382"/>
      <c r="J20" s="382"/>
      <c r="K20" s="382"/>
    </row>
    <row r="21" spans="1:11" x14ac:dyDescent="0.2">
      <c r="A21" s="382"/>
      <c r="B21" s="382"/>
      <c r="C21" s="382"/>
      <c r="D21" s="382"/>
      <c r="E21" s="382"/>
      <c r="F21" s="382"/>
      <c r="G21" s="382"/>
      <c r="H21" s="382"/>
      <c r="I21" s="382"/>
      <c r="J21" s="382"/>
      <c r="K21" s="382"/>
    </row>
    <row r="22" spans="1:11" x14ac:dyDescent="0.2">
      <c r="A22" s="382"/>
      <c r="B22" s="382"/>
      <c r="C22" s="382"/>
      <c r="D22" s="382"/>
      <c r="E22" s="382"/>
      <c r="F22" s="382"/>
      <c r="G22" s="382"/>
      <c r="H22" s="382"/>
      <c r="I22" s="382"/>
      <c r="J22" s="382"/>
      <c r="K22" s="382"/>
    </row>
    <row r="23" spans="1:11" x14ac:dyDescent="0.2">
      <c r="A23" s="382"/>
      <c r="B23" s="382"/>
      <c r="C23" s="382"/>
      <c r="D23" s="382"/>
      <c r="E23" s="382"/>
      <c r="F23" s="382"/>
      <c r="G23" s="382"/>
      <c r="H23" s="382"/>
      <c r="I23" s="382"/>
      <c r="J23" s="382"/>
      <c r="K23" s="382"/>
    </row>
    <row r="24" spans="1:11" x14ac:dyDescent="0.2">
      <c r="A24" s="382"/>
      <c r="B24" s="382"/>
      <c r="C24" s="382"/>
      <c r="D24" s="382"/>
      <c r="E24" s="382"/>
      <c r="F24" s="382"/>
      <c r="G24" s="382"/>
      <c r="H24" s="382"/>
      <c r="I24" s="382"/>
      <c r="J24" s="382"/>
      <c r="K24" s="382"/>
    </row>
    <row r="25" spans="1:11" x14ac:dyDescent="0.2">
      <c r="A25" s="382"/>
      <c r="B25" s="382"/>
      <c r="C25" s="382"/>
      <c r="D25" s="382"/>
      <c r="E25" s="382"/>
      <c r="F25" s="382"/>
      <c r="G25" s="382"/>
      <c r="H25" s="382"/>
      <c r="I25" s="382"/>
      <c r="J25" s="382"/>
      <c r="K25" s="382"/>
    </row>
    <row r="26" spans="1:11" x14ac:dyDescent="0.2">
      <c r="A26" s="382"/>
      <c r="B26" s="382"/>
      <c r="C26" s="382"/>
      <c r="D26" s="382"/>
      <c r="E26" s="382"/>
      <c r="F26" s="382"/>
      <c r="G26" s="382"/>
      <c r="H26" s="382"/>
      <c r="I26" s="382"/>
      <c r="J26" s="382"/>
      <c r="K26" s="382"/>
    </row>
    <row r="27" spans="1:11" x14ac:dyDescent="0.2">
      <c r="A27" s="382"/>
      <c r="B27" s="382"/>
      <c r="C27" s="382"/>
      <c r="D27" s="382"/>
      <c r="E27" s="382"/>
      <c r="F27" s="382"/>
      <c r="G27" s="382"/>
      <c r="H27" s="382"/>
      <c r="I27" s="382"/>
      <c r="J27" s="382"/>
      <c r="K27" s="382"/>
    </row>
    <row r="28" spans="1:11" x14ac:dyDescent="0.2">
      <c r="A28" s="382"/>
      <c r="B28" s="382"/>
      <c r="C28" s="382"/>
      <c r="D28" s="382"/>
      <c r="E28" s="382"/>
      <c r="F28" s="382"/>
      <c r="G28" s="382"/>
      <c r="H28" s="382"/>
      <c r="I28" s="382"/>
      <c r="J28" s="382"/>
      <c r="K28" s="382"/>
    </row>
    <row r="29" spans="1:11" x14ac:dyDescent="0.2">
      <c r="A29" s="382"/>
      <c r="B29" s="382"/>
      <c r="C29" s="382"/>
      <c r="D29" s="382"/>
      <c r="E29" s="382"/>
      <c r="F29" s="382"/>
      <c r="G29" s="382"/>
      <c r="H29" s="382"/>
      <c r="I29" s="382"/>
      <c r="J29" s="382"/>
      <c r="K29" s="382"/>
    </row>
    <row r="30" spans="1:11" x14ac:dyDescent="0.2">
      <c r="A30" s="382"/>
      <c r="B30" s="382"/>
      <c r="C30" s="382"/>
      <c r="D30" s="382"/>
      <c r="E30" s="382"/>
      <c r="F30" s="382"/>
      <c r="G30" s="382"/>
      <c r="H30" s="382"/>
      <c r="I30" s="382"/>
      <c r="J30" s="382"/>
      <c r="K30" s="382"/>
    </row>
    <row r="31" spans="1:11" x14ac:dyDescent="0.2">
      <c r="A31" s="382"/>
      <c r="B31" s="382"/>
      <c r="C31" s="382"/>
      <c r="D31" s="382"/>
      <c r="E31" s="382"/>
      <c r="F31" s="382"/>
      <c r="G31" s="382"/>
      <c r="H31" s="382"/>
      <c r="I31" s="382"/>
      <c r="J31" s="382"/>
      <c r="K31" s="382"/>
    </row>
    <row r="32" spans="1:11" x14ac:dyDescent="0.2">
      <c r="A32" s="382"/>
      <c r="B32" s="382"/>
      <c r="C32" s="382"/>
      <c r="D32" s="382"/>
      <c r="E32" s="382"/>
      <c r="F32" s="382"/>
      <c r="G32" s="382"/>
      <c r="H32" s="382"/>
      <c r="I32" s="382"/>
      <c r="J32" s="382"/>
      <c r="K32" s="382"/>
    </row>
    <row r="33" spans="1:11" x14ac:dyDescent="0.2">
      <c r="A33" s="382"/>
      <c r="B33" s="382"/>
      <c r="C33" s="382"/>
      <c r="D33" s="382"/>
      <c r="E33" s="382"/>
      <c r="F33" s="382"/>
      <c r="G33" s="382"/>
      <c r="H33" s="382"/>
      <c r="I33" s="382"/>
      <c r="J33" s="382"/>
      <c r="K33" s="382"/>
    </row>
    <row r="34" spans="1:11" x14ac:dyDescent="0.2">
      <c r="A34" s="382"/>
      <c r="B34" s="382"/>
      <c r="C34" s="382"/>
      <c r="D34" s="382"/>
      <c r="E34" s="382"/>
      <c r="F34" s="382"/>
      <c r="G34" s="382"/>
      <c r="H34" s="382"/>
      <c r="I34" s="382"/>
      <c r="J34" s="382"/>
      <c r="K34" s="382"/>
    </row>
    <row r="35" spans="1:11" x14ac:dyDescent="0.2">
      <c r="A35" s="382"/>
      <c r="B35" s="382"/>
      <c r="C35" s="382"/>
      <c r="D35" s="382"/>
      <c r="E35" s="382"/>
      <c r="F35" s="382"/>
      <c r="G35" s="382"/>
      <c r="H35" s="382"/>
      <c r="I35" s="382"/>
      <c r="J35" s="382"/>
      <c r="K35" s="382"/>
    </row>
    <row r="36" spans="1:11" x14ac:dyDescent="0.2">
      <c r="A36" s="382"/>
      <c r="B36" s="382"/>
      <c r="C36" s="382"/>
      <c r="D36" s="382"/>
      <c r="E36" s="382"/>
      <c r="F36" s="382"/>
      <c r="G36" s="382"/>
      <c r="H36" s="382"/>
      <c r="I36" s="382"/>
      <c r="J36" s="382"/>
      <c r="K36" s="382"/>
    </row>
    <row r="37" spans="1:11" x14ac:dyDescent="0.2">
      <c r="A37" s="382"/>
      <c r="B37" s="382"/>
      <c r="C37" s="382"/>
      <c r="D37" s="382"/>
      <c r="E37" s="382"/>
      <c r="F37" s="382"/>
      <c r="G37" s="382"/>
      <c r="H37" s="382"/>
      <c r="I37" s="382"/>
      <c r="J37" s="382"/>
      <c r="K37" s="382"/>
    </row>
    <row r="38" spans="1:11" x14ac:dyDescent="0.2">
      <c r="A38" s="382"/>
      <c r="B38" s="382"/>
      <c r="C38" s="382"/>
      <c r="D38" s="382"/>
      <c r="E38" s="382"/>
      <c r="F38" s="382"/>
      <c r="G38" s="382"/>
      <c r="H38" s="382"/>
      <c r="I38" s="382"/>
      <c r="J38" s="382"/>
      <c r="K38" s="382"/>
    </row>
    <row r="39" spans="1:11" x14ac:dyDescent="0.2">
      <c r="A39" s="382"/>
      <c r="B39" s="382"/>
      <c r="C39" s="382"/>
      <c r="D39" s="382"/>
      <c r="E39" s="382"/>
      <c r="F39" s="382"/>
      <c r="G39" s="382"/>
      <c r="H39" s="382"/>
      <c r="I39" s="382"/>
      <c r="J39" s="382"/>
      <c r="K39" s="382"/>
    </row>
    <row r="40" spans="1:11" x14ac:dyDescent="0.2">
      <c r="A40" s="382"/>
      <c r="B40" s="382"/>
      <c r="C40" s="382"/>
      <c r="D40" s="382"/>
      <c r="E40" s="382"/>
      <c r="F40" s="382"/>
      <c r="G40" s="382"/>
      <c r="H40" s="382"/>
      <c r="I40" s="382"/>
      <c r="J40" s="382"/>
      <c r="K40" s="382"/>
    </row>
    <row r="41" spans="1:11" x14ac:dyDescent="0.2">
      <c r="A41" s="382"/>
      <c r="B41" s="382"/>
      <c r="C41" s="382"/>
      <c r="D41" s="382"/>
      <c r="E41" s="382"/>
      <c r="F41" s="382"/>
      <c r="G41" s="382"/>
      <c r="H41" s="382"/>
      <c r="I41" s="382"/>
      <c r="J41" s="382"/>
      <c r="K41" s="382"/>
    </row>
    <row r="42" spans="1:11" x14ac:dyDescent="0.2">
      <c r="A42" s="382"/>
      <c r="B42" s="382"/>
      <c r="C42" s="382"/>
      <c r="D42" s="382"/>
      <c r="E42" s="382"/>
      <c r="F42" s="382"/>
      <c r="G42" s="382"/>
      <c r="H42" s="382"/>
      <c r="I42" s="382"/>
      <c r="J42" s="382"/>
      <c r="K42" s="382"/>
    </row>
    <row r="43" spans="1:11" x14ac:dyDescent="0.2">
      <c r="A43" s="382"/>
      <c r="B43" s="382"/>
      <c r="C43" s="382"/>
      <c r="D43" s="382"/>
      <c r="E43" s="382"/>
      <c r="F43" s="382"/>
      <c r="G43" s="382"/>
      <c r="H43" s="382"/>
      <c r="I43" s="382"/>
      <c r="J43" s="382"/>
      <c r="K43" s="382"/>
    </row>
    <row r="44" spans="1:11" x14ac:dyDescent="0.2">
      <c r="A44" s="382"/>
      <c r="B44" s="382"/>
      <c r="C44" s="382"/>
      <c r="D44" s="382"/>
      <c r="E44" s="382"/>
      <c r="F44" s="382"/>
      <c r="G44" s="382"/>
      <c r="H44" s="382"/>
      <c r="I44" s="382"/>
      <c r="J44" s="382"/>
      <c r="K44" s="382"/>
    </row>
    <row r="46" spans="1:11" x14ac:dyDescent="0.2">
      <c r="E46" s="416"/>
    </row>
  </sheetData>
  <sheetProtection algorithmName="SHA-512" hashValue="iTxA4hvQIzh7gF2xypFdLeVUSm9yWYkDHBO1yBzHezahdTMXYF06+ZwyAJM+8gTSbGSd1qIhaVdD3LctdBSM6Q==" saltValue="XFG6rtQLMjG2G3lt3yQQHg==" spinCount="100000" sheet="1" scenarios="1"/>
  <mergeCells count="4">
    <mergeCell ref="C2:C3"/>
    <mergeCell ref="D2:D3"/>
    <mergeCell ref="E2:H2"/>
    <mergeCell ref="I2:K2"/>
  </mergeCells>
  <conditionalFormatting sqref="G4">
    <cfRule type="expression" dxfId="15" priority="17">
      <formula>$J$4=1</formula>
    </cfRule>
  </conditionalFormatting>
  <conditionalFormatting sqref="K4">
    <cfRule type="expression" dxfId="14" priority="14">
      <formula>$J$4=1</formula>
    </cfRule>
  </conditionalFormatting>
  <conditionalFormatting sqref="G5">
    <cfRule type="expression" dxfId="13" priority="11">
      <formula>$J$4=1</formula>
    </cfRule>
  </conditionalFormatting>
  <conditionalFormatting sqref="G6">
    <cfRule type="expression" dxfId="12" priority="9">
      <formula>$J$4=1</formula>
    </cfRule>
  </conditionalFormatting>
  <conditionalFormatting sqref="G7">
    <cfRule type="expression" dxfId="11" priority="7">
      <formula>$J$4=1</formula>
    </cfRule>
  </conditionalFormatting>
  <conditionalFormatting sqref="E4:H7">
    <cfRule type="cellIs" dxfId="10" priority="5" operator="equal">
      <formula>0</formula>
    </cfRule>
  </conditionalFormatting>
  <conditionalFormatting sqref="I4:K7">
    <cfRule type="cellIs" dxfId="9" priority="4" operator="equal">
      <formula>0</formula>
    </cfRule>
  </conditionalFormatting>
  <conditionalFormatting sqref="G4:H7">
    <cfRule type="cellIs" dxfId="8" priority="1" operator="greaterThan">
      <formula>0</formula>
    </cfRule>
    <cfRule type="cellIs" dxfId="7" priority="3" operator="greaterThan">
      <formula>0</formula>
    </cfRule>
  </conditionalFormatting>
  <conditionalFormatting sqref="K4:K7">
    <cfRule type="cellIs" dxfId="6" priority="2" operator="greaterThan">
      <formula>0</formula>
    </cfRule>
  </conditionalFormatting>
  <pageMargins left="0.25" right="0.25" top="0.75" bottom="0.75" header="0.3" footer="0.3"/>
  <pageSetup scale="4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6" id="{0A03A245-A861-4D04-B0EE-757A7F9ECBED}">
            <xm:f>'Cash Flow Tables'!$D$10&gt;0</xm:f>
            <x14:dxf>
              <font>
                <strike val="0"/>
                <color theme="4" tint="-0.24994659260841701"/>
              </font>
            </x14:dxf>
          </x14:cfRule>
          <xm:sqref>G4</xm:sqref>
        </x14:conditionalFormatting>
        <x14:conditionalFormatting xmlns:xm="http://schemas.microsoft.com/office/excel/2006/main">
          <x14:cfRule type="expression" priority="6" id="{57713A0D-65D4-4F15-AEAF-BF20345F39B9}">
            <xm:f>'Cash Flow Tables'!$D$10&gt;0</xm:f>
            <x14:dxf>
              <font>
                <strike val="0"/>
                <color theme="4" tint="-0.24994659260841701"/>
              </font>
            </x14:dxf>
          </x14:cfRule>
          <xm:sqref>G7</xm:sqref>
        </x14:conditionalFormatting>
        <x14:conditionalFormatting xmlns:xm="http://schemas.microsoft.com/office/excel/2006/main">
          <x14:cfRule type="expression" priority="13" id="{9FD5B362-D24B-40CE-B50F-4CD8D751D2A7}">
            <xm:f>'Cash Flow Tables'!$D$10&gt;0</xm:f>
            <x14:dxf>
              <font>
                <strike val="0"/>
                <color theme="4" tint="-0.24994659260841701"/>
              </font>
            </x14:dxf>
          </x14:cfRule>
          <xm:sqref>K4</xm:sqref>
        </x14:conditionalFormatting>
        <x14:conditionalFormatting xmlns:xm="http://schemas.microsoft.com/office/excel/2006/main">
          <x14:cfRule type="expression" priority="12" id="{60616E47-D122-4FAB-97F7-7A907D883766}">
            <xm:f>'Cash Flow Tables'!$D$31&gt;0</xm:f>
            <x14:dxf>
              <font>
                <color theme="4" tint="-0.24994659260841701"/>
              </font>
            </x14:dxf>
          </x14:cfRule>
          <xm:sqref>K5</xm:sqref>
        </x14:conditionalFormatting>
        <x14:conditionalFormatting xmlns:xm="http://schemas.microsoft.com/office/excel/2006/main">
          <x14:cfRule type="expression" priority="10" id="{9E04B902-8F4D-42E5-80E4-CA7FF616D6F4}">
            <xm:f>'Cash Flow Tables'!$D$10&gt;0</xm:f>
            <x14:dxf>
              <font>
                <strike val="0"/>
                <color theme="4" tint="-0.24994659260841701"/>
              </font>
            </x14:dxf>
          </x14:cfRule>
          <xm:sqref>G5</xm:sqref>
        </x14:conditionalFormatting>
        <x14:conditionalFormatting xmlns:xm="http://schemas.microsoft.com/office/excel/2006/main">
          <x14:cfRule type="expression" priority="8" id="{DE071F91-5120-43AD-8E5B-9FD7BD598D89}">
            <xm:f>'Cash Flow Tables'!$D$10&gt;0</xm:f>
            <x14:dxf>
              <font>
                <strike val="0"/>
                <color theme="4" tint="-0.24994659260841701"/>
              </font>
            </x14:dxf>
          </x14:cfRule>
          <xm:sqref>G6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sheetPr>
  <dimension ref="A1:AI89"/>
  <sheetViews>
    <sheetView zoomScale="60" zoomScaleNormal="60" workbookViewId="0">
      <selection activeCell="B23" sqref="B23"/>
    </sheetView>
  </sheetViews>
  <sheetFormatPr defaultRowHeight="12.75" x14ac:dyDescent="0.2"/>
  <cols>
    <col min="1" max="1" width="79.5703125" customWidth="1"/>
    <col min="2" max="2" width="22.85546875" customWidth="1"/>
    <col min="3" max="4" width="20" customWidth="1"/>
    <col min="5" max="35" width="19.140625" customWidth="1"/>
  </cols>
  <sheetData>
    <row r="1" spans="1:35" ht="26.25" customHeight="1" x14ac:dyDescent="0.2">
      <c r="U1" s="180"/>
      <c r="V1" s="180"/>
      <c r="W1" s="180"/>
      <c r="X1" s="180"/>
      <c r="Y1" s="180"/>
      <c r="Z1" s="180"/>
      <c r="AA1" s="180"/>
      <c r="AB1" s="180"/>
      <c r="AC1" s="180"/>
      <c r="AD1" s="180"/>
    </row>
    <row r="2" spans="1:35" ht="23.25" x14ac:dyDescent="0.35">
      <c r="A2" s="166" t="s">
        <v>260</v>
      </c>
      <c r="B2" s="167"/>
      <c r="C2" s="167"/>
      <c r="D2" s="167"/>
      <c r="E2" s="167"/>
      <c r="F2" s="167"/>
    </row>
    <row r="4" spans="1:35" ht="33" customHeight="1" x14ac:dyDescent="0.2">
      <c r="A4" s="206" t="s">
        <v>261</v>
      </c>
    </row>
    <row r="5" spans="1:35" ht="18" x14ac:dyDescent="0.25">
      <c r="B5" s="497" t="s">
        <v>157</v>
      </c>
      <c r="C5" s="497" t="s">
        <v>156</v>
      </c>
      <c r="D5" s="498" t="s">
        <v>172</v>
      </c>
      <c r="E5" s="165" t="s">
        <v>3</v>
      </c>
      <c r="F5" s="165" t="s">
        <v>3</v>
      </c>
      <c r="G5" s="165" t="s">
        <v>3</v>
      </c>
      <c r="H5" s="165" t="s">
        <v>3</v>
      </c>
      <c r="I5" s="165" t="s">
        <v>3</v>
      </c>
      <c r="J5" s="165" t="s">
        <v>3</v>
      </c>
      <c r="K5" s="165" t="s">
        <v>3</v>
      </c>
      <c r="L5" s="165" t="s">
        <v>3</v>
      </c>
      <c r="M5" s="165" t="s">
        <v>3</v>
      </c>
      <c r="N5" s="165" t="s">
        <v>3</v>
      </c>
      <c r="O5" s="165" t="s">
        <v>3</v>
      </c>
      <c r="P5" s="165" t="s">
        <v>3</v>
      </c>
      <c r="Q5" s="165" t="s">
        <v>3</v>
      </c>
      <c r="R5" s="165" t="s">
        <v>3</v>
      </c>
      <c r="S5" s="165" t="s">
        <v>3</v>
      </c>
      <c r="T5" s="165" t="s">
        <v>3</v>
      </c>
      <c r="U5" s="165" t="s">
        <v>3</v>
      </c>
      <c r="V5" s="165" t="s">
        <v>3</v>
      </c>
      <c r="W5" s="165" t="s">
        <v>3</v>
      </c>
      <c r="X5" s="165" t="s">
        <v>3</v>
      </c>
      <c r="Y5" s="165" t="s">
        <v>3</v>
      </c>
      <c r="Z5" s="165" t="s">
        <v>3</v>
      </c>
      <c r="AA5" s="165" t="s">
        <v>3</v>
      </c>
      <c r="AB5" s="165" t="s">
        <v>3</v>
      </c>
      <c r="AC5" s="165" t="s">
        <v>3</v>
      </c>
      <c r="AD5" s="165" t="s">
        <v>3</v>
      </c>
      <c r="AE5" s="165" t="s">
        <v>3</v>
      </c>
      <c r="AF5" s="165" t="s">
        <v>3</v>
      </c>
      <c r="AG5" s="165" t="s">
        <v>3</v>
      </c>
      <c r="AH5" s="165" t="s">
        <v>3</v>
      </c>
      <c r="AI5" s="165" t="s">
        <v>3</v>
      </c>
    </row>
    <row r="6" spans="1:35" ht="18" x14ac:dyDescent="0.25">
      <c r="B6" s="497"/>
      <c r="C6" s="497"/>
      <c r="D6" s="498"/>
      <c r="E6" s="165">
        <v>0</v>
      </c>
      <c r="F6" s="165">
        <v>1</v>
      </c>
      <c r="G6" s="165">
        <v>2</v>
      </c>
      <c r="H6" s="165">
        <v>3</v>
      </c>
      <c r="I6" s="165">
        <v>4</v>
      </c>
      <c r="J6" s="165">
        <v>5</v>
      </c>
      <c r="K6" s="165">
        <v>6</v>
      </c>
      <c r="L6" s="165">
        <v>7</v>
      </c>
      <c r="M6" s="165">
        <v>8</v>
      </c>
      <c r="N6" s="165">
        <v>9</v>
      </c>
      <c r="O6" s="165">
        <v>10</v>
      </c>
      <c r="P6" s="165">
        <v>11</v>
      </c>
      <c r="Q6" s="165">
        <v>12</v>
      </c>
      <c r="R6" s="165">
        <v>13</v>
      </c>
      <c r="S6" s="165">
        <v>14</v>
      </c>
      <c r="T6" s="165">
        <v>15</v>
      </c>
      <c r="U6" s="165">
        <v>16</v>
      </c>
      <c r="V6" s="165">
        <v>17</v>
      </c>
      <c r="W6" s="165">
        <v>18</v>
      </c>
      <c r="X6" s="165">
        <v>19</v>
      </c>
      <c r="Y6" s="165">
        <v>20</v>
      </c>
      <c r="Z6" s="165">
        <v>21</v>
      </c>
      <c r="AA6" s="165">
        <v>22</v>
      </c>
      <c r="AB6" s="165">
        <v>23</v>
      </c>
      <c r="AC6" s="165">
        <v>24</v>
      </c>
      <c r="AD6" s="165">
        <v>25</v>
      </c>
      <c r="AE6" s="165">
        <v>26</v>
      </c>
      <c r="AF6" s="165">
        <v>27</v>
      </c>
      <c r="AG6" s="165">
        <v>28</v>
      </c>
      <c r="AH6" s="165">
        <v>29</v>
      </c>
      <c r="AI6" s="165">
        <v>30</v>
      </c>
    </row>
    <row r="7" spans="1:35" ht="23.25" customHeight="1" thickBot="1" x14ac:dyDescent="0.3">
      <c r="A7" s="168" t="s">
        <v>158</v>
      </c>
      <c r="V7">
        <v>10</v>
      </c>
    </row>
    <row r="8" spans="1:35" ht="23.25" x14ac:dyDescent="0.2">
      <c r="A8" s="164" t="str">
        <f>A!B$8</f>
        <v>Third Party</v>
      </c>
    </row>
    <row r="9" spans="1:35" ht="15" customHeight="1" x14ac:dyDescent="0.25">
      <c r="A9" s="172" t="str">
        <f>A!A$141</f>
        <v>Outside Economy</v>
      </c>
      <c r="E9" s="40"/>
      <c r="F9" s="40"/>
      <c r="G9" s="40"/>
      <c r="H9" s="40"/>
      <c r="I9" s="40"/>
      <c r="J9" s="40"/>
      <c r="K9" s="40"/>
      <c r="L9" s="40"/>
      <c r="M9" s="40"/>
      <c r="N9" s="40"/>
      <c r="O9" s="40">
        <v>0.25</v>
      </c>
      <c r="P9" s="40"/>
      <c r="Q9" s="40">
        <v>5000</v>
      </c>
      <c r="R9" s="40"/>
      <c r="S9" s="40"/>
      <c r="T9" s="40"/>
      <c r="U9" s="40"/>
      <c r="V9" s="40"/>
      <c r="W9" s="40"/>
      <c r="X9" s="40"/>
      <c r="Y9" s="40"/>
      <c r="Z9" s="40"/>
      <c r="AA9" s="40"/>
      <c r="AB9" s="40"/>
      <c r="AC9" s="40"/>
      <c r="AD9" s="40"/>
      <c r="AE9" s="40"/>
      <c r="AF9" s="40"/>
      <c r="AG9" s="40"/>
      <c r="AH9" s="40"/>
      <c r="AI9" s="40"/>
    </row>
    <row r="10" spans="1:35" ht="15" customHeight="1" x14ac:dyDescent="0.25">
      <c r="A10" s="173" t="str">
        <f>A!A$142</f>
        <v>Original Owner - Outside</v>
      </c>
      <c r="B10" s="113">
        <f>A!B$142</f>
        <v>0.06</v>
      </c>
      <c r="C10" s="182">
        <f>A!C$142</f>
        <v>417956.98282468319</v>
      </c>
      <c r="D10" s="181">
        <f>IF(C10=0,"",IRR(E10:AI10,B10))</f>
        <v>0.13134239814912063</v>
      </c>
      <c r="E10" s="40">
        <f>A!E$142</f>
        <v>-621600</v>
      </c>
      <c r="F10" s="40">
        <f>A!F$142</f>
        <v>127231.74632806642</v>
      </c>
      <c r="G10" s="40">
        <f>A!G$142</f>
        <v>171397.77219949564</v>
      </c>
      <c r="H10" s="40">
        <f>A!H$142</f>
        <v>120371.11124940508</v>
      </c>
      <c r="I10" s="40">
        <f>A!I$142</f>
        <v>88943.286830167606</v>
      </c>
      <c r="J10" s="40">
        <f>A!J$142</f>
        <v>86933.5651009516</v>
      </c>
      <c r="K10" s="40">
        <f>A!K$142</f>
        <v>62773.858436850416</v>
      </c>
      <c r="L10" s="40">
        <f>A!L$142</f>
        <v>38560.556325499128</v>
      </c>
      <c r="M10" s="40">
        <f>A!M$142</f>
        <v>36389.875720495482</v>
      </c>
      <c r="N10" s="40">
        <f>A!N$142</f>
        <v>34159.066819103668</v>
      </c>
      <c r="O10" s="40">
        <f>A!O$142</f>
        <v>-19011.421770231027</v>
      </c>
      <c r="P10" s="40">
        <f>A!P$142</f>
        <v>29502.653492905665</v>
      </c>
      <c r="Q10" s="40">
        <f>A!Q$142</f>
        <v>27069.318916229066</v>
      </c>
      <c r="R10" s="40">
        <f>A!R$142</f>
        <v>24560.370683581612</v>
      </c>
      <c r="S10" s="40">
        <f>A!S$142</f>
        <v>21971.361193741468</v>
      </c>
      <c r="T10" s="40">
        <f>A!T$142</f>
        <v>19297.584583092539</v>
      </c>
      <c r="U10" s="40">
        <f>A!U$142</f>
        <v>112536.54249520443</v>
      </c>
      <c r="V10" s="40">
        <f>A!V$142</f>
        <v>111251.67604429054</v>
      </c>
      <c r="W10" s="40">
        <f>A!W$142</f>
        <v>109960.63760491302</v>
      </c>
      <c r="X10" s="40">
        <f>A!X$142</f>
        <v>108663.19061563519</v>
      </c>
      <c r="Y10" s="40">
        <f>A!Y$142</f>
        <v>56483.09371984376</v>
      </c>
      <c r="Z10" s="40">
        <f>A!Z$142</f>
        <v>142733.75303263211</v>
      </c>
      <c r="AA10" s="40">
        <f>A!AA$142</f>
        <v>144629.84528261572</v>
      </c>
      <c r="AB10" s="40">
        <f>A!AB$142</f>
        <v>146553.08760779581</v>
      </c>
      <c r="AC10" s="40">
        <f>A!AC$142</f>
        <v>148503.79983859742</v>
      </c>
      <c r="AD10" s="40">
        <f>A!AD$142</f>
        <v>150482.30473909265</v>
      </c>
      <c r="AE10" s="40">
        <f>A!AE$142</f>
        <v>0</v>
      </c>
      <c r="AF10" s="40">
        <f>A!AF$142</f>
        <v>0</v>
      </c>
      <c r="AG10" s="40">
        <f>A!AG$142</f>
        <v>0</v>
      </c>
      <c r="AH10" s="40">
        <f>A!AH$142</f>
        <v>0</v>
      </c>
      <c r="AI10" s="40">
        <f>A!AI$142</f>
        <v>0</v>
      </c>
    </row>
    <row r="11" spans="1:35" ht="15" customHeight="1" x14ac:dyDescent="0.2">
      <c r="A11" s="173" t="str">
        <f>A!A$143</f>
        <v>Offtakers Outside Economy</v>
      </c>
      <c r="B11" s="113">
        <f>A!B$143</f>
        <v>0.06</v>
      </c>
      <c r="C11" s="182">
        <f>A!C$143</f>
        <v>205456.07124983205</v>
      </c>
      <c r="E11" s="40">
        <f>A!E$143</f>
        <v>0</v>
      </c>
      <c r="F11" s="40">
        <f>A!F$143</f>
        <v>13980.960000000001</v>
      </c>
      <c r="G11" s="40">
        <f>A!G$143</f>
        <v>14189.276304000003</v>
      </c>
      <c r="H11" s="40">
        <f>A!H$143</f>
        <v>14400.696520929603</v>
      </c>
      <c r="I11" s="40">
        <f>A!I$143</f>
        <v>14615.266899091454</v>
      </c>
      <c r="J11" s="40">
        <f>A!J$143</f>
        <v>14833.034375887917</v>
      </c>
      <c r="K11" s="40">
        <f>A!K$143</f>
        <v>15054.046588088648</v>
      </c>
      <c r="L11" s="40">
        <f>A!L$143</f>
        <v>15278.351882251169</v>
      </c>
      <c r="M11" s="40">
        <f>A!M$143</f>
        <v>15505.999325296705</v>
      </c>
      <c r="N11" s="40">
        <f>A!N$143</f>
        <v>15737.038715243631</v>
      </c>
      <c r="O11" s="40">
        <f>A!O$143</f>
        <v>15971.520592100758</v>
      </c>
      <c r="P11" s="40">
        <f>A!P$143</f>
        <v>16209.49624892306</v>
      </c>
      <c r="Q11" s="40">
        <f>A!Q$143</f>
        <v>16451.017743032015</v>
      </c>
      <c r="R11" s="40">
        <f>A!R$143</f>
        <v>16696.137907403194</v>
      </c>
      <c r="S11" s="40">
        <f>A!S$143</f>
        <v>16944.910362223494</v>
      </c>
      <c r="T11" s="40">
        <f>A!T$143</f>
        <v>17197.389526620635</v>
      </c>
      <c r="U11" s="40">
        <f>A!U$143</f>
        <v>17453.630630567273</v>
      </c>
      <c r="V11" s="40">
        <f>A!V$143</f>
        <v>17713.68972696273</v>
      </c>
      <c r="W11" s="40">
        <f>A!W$143</f>
        <v>17977.623703894475</v>
      </c>
      <c r="X11" s="40">
        <f>A!X$143</f>
        <v>18245.490297082499</v>
      </c>
      <c r="Y11" s="40">
        <f>A!Y$143</f>
        <v>18517.348102509026</v>
      </c>
      <c r="Z11" s="40">
        <f>A!Z$143</f>
        <v>18793.256589236411</v>
      </c>
      <c r="AA11" s="40">
        <f>A!AA$143</f>
        <v>19073.276112416032</v>
      </c>
      <c r="AB11" s="40">
        <f>A!AB$143</f>
        <v>19357.467926491034</v>
      </c>
      <c r="AC11" s="40">
        <f>A!AC$143</f>
        <v>19645.894198595746</v>
      </c>
      <c r="AD11" s="40">
        <f>A!AD$143</f>
        <v>19938.61802215482</v>
      </c>
      <c r="AE11" s="40">
        <f>A!AE$143</f>
        <v>0</v>
      </c>
      <c r="AF11" s="40">
        <f>A!AF$143</f>
        <v>0</v>
      </c>
      <c r="AG11" s="40">
        <f>A!AG$143</f>
        <v>0</v>
      </c>
      <c r="AH11" s="40">
        <f>A!AH$143</f>
        <v>0</v>
      </c>
      <c r="AI11" s="40">
        <f>A!AI$143</f>
        <v>0</v>
      </c>
    </row>
    <row r="12" spans="1:35" ht="15" customHeight="1" x14ac:dyDescent="0.2">
      <c r="A12" s="173" t="str">
        <f>A!A$144</f>
        <v>Lender Outside Economy</v>
      </c>
      <c r="B12" s="113">
        <f>A!B$144</f>
        <v>0.06</v>
      </c>
      <c r="C12" s="182">
        <f>A!C$144</f>
        <v>365534.70124622306</v>
      </c>
      <c r="E12" s="40">
        <f>A!E$144</f>
        <v>0</v>
      </c>
      <c r="F12" s="40">
        <f>A!F$144</f>
        <v>55944</v>
      </c>
      <c r="G12" s="40">
        <f>A!G$144</f>
        <v>53540.491133283984</v>
      </c>
      <c r="H12" s="40">
        <f>A!H$144</f>
        <v>50992.771734565009</v>
      </c>
      <c r="I12" s="40">
        <f>A!I$144</f>
        <v>48292.189171922895</v>
      </c>
      <c r="J12" s="40">
        <f>A!J$144</f>
        <v>45429.571655522261</v>
      </c>
      <c r="K12" s="40">
        <f>A!K$144</f>
        <v>42395.197088137582</v>
      </c>
      <c r="L12" s="40">
        <f>A!L$144</f>
        <v>39178.760046709824</v>
      </c>
      <c r="M12" s="40">
        <f>A!M$144</f>
        <v>35769.336782796403</v>
      </c>
      <c r="N12" s="40">
        <f>A!N$144</f>
        <v>32155.348123048174</v>
      </c>
      <c r="O12" s="40">
        <f>A!O$144</f>
        <v>28324.52014371505</v>
      </c>
      <c r="P12" s="40">
        <f>A!P$144</f>
        <v>24263.842485621943</v>
      </c>
      <c r="Q12" s="40">
        <f>A!Q$144</f>
        <v>19959.524168043245</v>
      </c>
      <c r="R12" s="40">
        <f>A!R$144</f>
        <v>15396.946751409825</v>
      </c>
      <c r="S12" s="40">
        <f>A!S$144</f>
        <v>10560.614689778402</v>
      </c>
      <c r="T12" s="40">
        <f>A!T$144</f>
        <v>5434.102704449092</v>
      </c>
      <c r="U12" s="40">
        <f>A!U$144</f>
        <v>0</v>
      </c>
      <c r="V12" s="40">
        <f>A!V$144</f>
        <v>0</v>
      </c>
      <c r="W12" s="40">
        <f>A!W$144</f>
        <v>0</v>
      </c>
      <c r="X12" s="40">
        <f>A!X$144</f>
        <v>0</v>
      </c>
      <c r="Y12" s="40">
        <f>A!Y$144</f>
        <v>0</v>
      </c>
      <c r="Z12" s="40">
        <f>A!Z$144</f>
        <v>0</v>
      </c>
      <c r="AA12" s="40">
        <f>A!AA$144</f>
        <v>0</v>
      </c>
      <c r="AB12" s="40">
        <f>A!AB$144</f>
        <v>0</v>
      </c>
      <c r="AC12" s="40">
        <f>A!AC$144</f>
        <v>0</v>
      </c>
      <c r="AD12" s="40">
        <f>A!AD$144</f>
        <v>0</v>
      </c>
      <c r="AE12" s="40">
        <f>A!AE$144</f>
        <v>0</v>
      </c>
      <c r="AF12" s="40">
        <f>A!AF$144</f>
        <v>0</v>
      </c>
      <c r="AG12" s="40">
        <f>A!AG$144</f>
        <v>0</v>
      </c>
      <c r="AH12" s="40">
        <f>A!AH$144</f>
        <v>0</v>
      </c>
      <c r="AI12" s="40">
        <f>A!AI$144</f>
        <v>0</v>
      </c>
    </row>
    <row r="13" spans="1:35" ht="15" customHeight="1" x14ac:dyDescent="0.2">
      <c r="A13" s="174" t="str">
        <f>A!A$145</f>
        <v>Local Economy</v>
      </c>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row>
    <row r="14" spans="1:35" ht="15" customHeight="1" x14ac:dyDescent="0.25">
      <c r="A14" s="173" t="str">
        <f>A!A$146</f>
        <v>Original Owner - Local</v>
      </c>
      <c r="B14" s="113">
        <f>A!B$146</f>
        <v>0.06</v>
      </c>
      <c r="C14" s="182">
        <f>A!C$146</f>
        <v>0</v>
      </c>
      <c r="D14" s="181" t="str">
        <f t="shared" ref="D14:D15" si="0">IF(C14=0,"",IRR(E14:AI14,B14))</f>
        <v/>
      </c>
      <c r="E14" s="40">
        <f>A!E$146</f>
        <v>0</v>
      </c>
      <c r="F14" s="40">
        <f>A!F$146</f>
        <v>0</v>
      </c>
      <c r="G14" s="40">
        <f>A!G$146</f>
        <v>0</v>
      </c>
      <c r="H14" s="40">
        <f>A!H$146</f>
        <v>0</v>
      </c>
      <c r="I14" s="40">
        <f>A!I$146</f>
        <v>0</v>
      </c>
      <c r="J14" s="40">
        <f>A!J$146</f>
        <v>0</v>
      </c>
      <c r="K14" s="40">
        <f>A!K$146</f>
        <v>0</v>
      </c>
      <c r="L14" s="40">
        <f>A!L$146</f>
        <v>0</v>
      </c>
      <c r="M14" s="40">
        <f>A!M$146</f>
        <v>0</v>
      </c>
      <c r="N14" s="40">
        <f>A!N$146</f>
        <v>0</v>
      </c>
      <c r="O14" s="40">
        <f>A!O$146</f>
        <v>0</v>
      </c>
      <c r="P14" s="40">
        <f>A!P$146</f>
        <v>0</v>
      </c>
      <c r="Q14" s="40">
        <f>A!Q$146</f>
        <v>0</v>
      </c>
      <c r="R14" s="40">
        <f>A!R$146</f>
        <v>0</v>
      </c>
      <c r="S14" s="40">
        <f>A!S$146</f>
        <v>0</v>
      </c>
      <c r="T14" s="40">
        <f>A!T$146</f>
        <v>0</v>
      </c>
      <c r="U14" s="40">
        <f>A!U$146</f>
        <v>0</v>
      </c>
      <c r="V14" s="40">
        <f>A!V$146</f>
        <v>0</v>
      </c>
      <c r="W14" s="40">
        <f>A!W$146</f>
        <v>0</v>
      </c>
      <c r="X14" s="40">
        <f>A!X$146</f>
        <v>0</v>
      </c>
      <c r="Y14" s="40">
        <f>A!Y$146</f>
        <v>0</v>
      </c>
      <c r="Z14" s="40">
        <f>A!Z$146</f>
        <v>0</v>
      </c>
      <c r="AA14" s="40">
        <f>A!AA$146</f>
        <v>0</v>
      </c>
      <c r="AB14" s="40">
        <f>A!AB$146</f>
        <v>0</v>
      </c>
      <c r="AC14" s="40">
        <f>A!AC$146</f>
        <v>0</v>
      </c>
      <c r="AD14" s="40">
        <f>A!AD$146</f>
        <v>0</v>
      </c>
      <c r="AE14" s="40">
        <f>A!AE$146</f>
        <v>0</v>
      </c>
      <c r="AF14" s="40">
        <f>A!AF$146</f>
        <v>0</v>
      </c>
      <c r="AG14" s="40">
        <f>A!AG$146</f>
        <v>0</v>
      </c>
      <c r="AH14" s="40">
        <f>A!AH$146</f>
        <v>0</v>
      </c>
      <c r="AI14" s="40">
        <f>A!AI$146</f>
        <v>0</v>
      </c>
    </row>
    <row r="15" spans="1:35" ht="15" customHeight="1" x14ac:dyDescent="0.25">
      <c r="A15" s="173" t="str">
        <f>A!A$147</f>
        <v>Local Owner after Flip</v>
      </c>
      <c r="B15" s="113">
        <f>A!B$147</f>
        <v>0.06</v>
      </c>
      <c r="C15" s="182">
        <f>A!C$147</f>
        <v>0</v>
      </c>
      <c r="D15" s="181" t="str">
        <f t="shared" si="0"/>
        <v/>
      </c>
      <c r="E15" s="40">
        <f>A!E$147</f>
        <v>0</v>
      </c>
      <c r="F15" s="40">
        <f>A!F$147</f>
        <v>0</v>
      </c>
      <c r="G15" s="40">
        <f>A!G$147</f>
        <v>0</v>
      </c>
      <c r="H15" s="40">
        <f>A!H$147</f>
        <v>0</v>
      </c>
      <c r="I15" s="40">
        <f>A!I$147</f>
        <v>0</v>
      </c>
      <c r="J15" s="40">
        <f>A!J$147</f>
        <v>0</v>
      </c>
      <c r="K15" s="40">
        <f>A!K$147</f>
        <v>0</v>
      </c>
      <c r="L15" s="40">
        <f>A!L$147</f>
        <v>0</v>
      </c>
      <c r="M15" s="40">
        <f>A!M$147</f>
        <v>0</v>
      </c>
      <c r="N15" s="40">
        <f>A!N$147</f>
        <v>0</v>
      </c>
      <c r="O15" s="40">
        <f>A!O$147</f>
        <v>0</v>
      </c>
      <c r="P15" s="40">
        <f>A!P$147</f>
        <v>0</v>
      </c>
      <c r="Q15" s="40">
        <f>A!Q$147</f>
        <v>0</v>
      </c>
      <c r="R15" s="40">
        <f>A!R$147</f>
        <v>0</v>
      </c>
      <c r="S15" s="40">
        <f>A!S$147</f>
        <v>0</v>
      </c>
      <c r="T15" s="40">
        <f>A!T$147</f>
        <v>0</v>
      </c>
      <c r="U15" s="40">
        <f>A!U$147</f>
        <v>0</v>
      </c>
      <c r="V15" s="40">
        <f>A!V$147</f>
        <v>0</v>
      </c>
      <c r="W15" s="40">
        <f>A!W$147</f>
        <v>0</v>
      </c>
      <c r="X15" s="40">
        <f>A!X$147</f>
        <v>0</v>
      </c>
      <c r="Y15" s="40">
        <f>A!Y$147</f>
        <v>0</v>
      </c>
      <c r="Z15" s="40">
        <f>A!Z$147</f>
        <v>0</v>
      </c>
      <c r="AA15" s="40">
        <f>A!AA$147</f>
        <v>0</v>
      </c>
      <c r="AB15" s="40">
        <f>A!AB$147</f>
        <v>0</v>
      </c>
      <c r="AC15" s="40">
        <f>A!AC$147</f>
        <v>0</v>
      </c>
      <c r="AD15" s="40">
        <f>A!AD$147</f>
        <v>0</v>
      </c>
      <c r="AE15" s="40">
        <f>A!AE$147</f>
        <v>0</v>
      </c>
      <c r="AF15" s="40">
        <f>A!AF$147</f>
        <v>0</v>
      </c>
      <c r="AG15" s="40">
        <f>A!AG$147</f>
        <v>0</v>
      </c>
      <c r="AH15" s="40">
        <f>A!AH$147</f>
        <v>0</v>
      </c>
      <c r="AI15" s="40">
        <f>A!AI$147</f>
        <v>0</v>
      </c>
    </row>
    <row r="16" spans="1:35" ht="15" customHeight="1" x14ac:dyDescent="0.2">
      <c r="A16" s="173" t="str">
        <f>A!A$148</f>
        <v>Offtakers Local Economy</v>
      </c>
      <c r="B16" s="113">
        <f>A!B$148</f>
        <v>0.06</v>
      </c>
      <c r="C16" s="182">
        <f>A!C$148</f>
        <v>51364.017812458012</v>
      </c>
      <c r="E16" s="40">
        <f>A!E$148</f>
        <v>0</v>
      </c>
      <c r="F16" s="40">
        <f>A!F$148</f>
        <v>3495.2400000000002</v>
      </c>
      <c r="G16" s="40">
        <f>A!G$148</f>
        <v>3547.3190760000007</v>
      </c>
      <c r="H16" s="40">
        <f>A!H$148</f>
        <v>3600.1741302324008</v>
      </c>
      <c r="I16" s="40">
        <f>A!I$148</f>
        <v>3653.8167247728634</v>
      </c>
      <c r="J16" s="40">
        <f>A!J$148</f>
        <v>3708.2585939719793</v>
      </c>
      <c r="K16" s="40">
        <f>A!K$148</f>
        <v>3763.5116470221619</v>
      </c>
      <c r="L16" s="40">
        <f>A!L$148</f>
        <v>3819.5879705627922</v>
      </c>
      <c r="M16" s="40">
        <f>A!M$148</f>
        <v>3876.4998313241763</v>
      </c>
      <c r="N16" s="40">
        <f>A!N$148</f>
        <v>3934.2596788109076</v>
      </c>
      <c r="O16" s="40">
        <f>A!O$148</f>
        <v>3992.8801480251896</v>
      </c>
      <c r="P16" s="40">
        <f>A!P$148</f>
        <v>4052.374062230765</v>
      </c>
      <c r="Q16" s="40">
        <f>A!Q$148</f>
        <v>4112.7544357580036</v>
      </c>
      <c r="R16" s="40">
        <f>A!R$148</f>
        <v>4174.0344768507985</v>
      </c>
      <c r="S16" s="40">
        <f>A!S$148</f>
        <v>4236.2275905558736</v>
      </c>
      <c r="T16" s="40">
        <f>A!T$148</f>
        <v>4299.3473816551586</v>
      </c>
      <c r="U16" s="40">
        <f>A!U$148</f>
        <v>4363.4076576418183</v>
      </c>
      <c r="V16" s="40">
        <f>A!V$148</f>
        <v>4428.4224317406824</v>
      </c>
      <c r="W16" s="40">
        <f>A!W$148</f>
        <v>4494.4059259736187</v>
      </c>
      <c r="X16" s="40">
        <f>A!X$148</f>
        <v>4561.3725742706247</v>
      </c>
      <c r="Y16" s="40">
        <f>A!Y$148</f>
        <v>4629.3370256272565</v>
      </c>
      <c r="Z16" s="40">
        <f>A!Z$148</f>
        <v>4698.3141473091027</v>
      </c>
      <c r="AA16" s="40">
        <f>A!AA$148</f>
        <v>4768.3190281040079</v>
      </c>
      <c r="AB16" s="40">
        <f>A!AB$148</f>
        <v>4839.3669816227584</v>
      </c>
      <c r="AC16" s="40">
        <f>A!AC$148</f>
        <v>4911.4735496489366</v>
      </c>
      <c r="AD16" s="40">
        <f>A!AD$148</f>
        <v>4984.6545055387051</v>
      </c>
      <c r="AE16" s="40">
        <f>A!AE$148</f>
        <v>0</v>
      </c>
      <c r="AF16" s="40">
        <f>A!AF$148</f>
        <v>0</v>
      </c>
      <c r="AG16" s="40">
        <f>A!AG$148</f>
        <v>0</v>
      </c>
      <c r="AH16" s="40">
        <f>A!AH$148</f>
        <v>0</v>
      </c>
      <c r="AI16" s="40">
        <f>A!AI$148</f>
        <v>0</v>
      </c>
    </row>
    <row r="17" spans="1:35" ht="15" customHeight="1" x14ac:dyDescent="0.2">
      <c r="A17" s="173" t="str">
        <f>A!A$149</f>
        <v>Lender Local Economy</v>
      </c>
      <c r="B17" s="113">
        <f>A!B$149</f>
        <v>0.06</v>
      </c>
      <c r="C17" s="182">
        <f>A!C$149</f>
        <v>0</v>
      </c>
      <c r="E17" s="40">
        <f>A!E$149</f>
        <v>0</v>
      </c>
      <c r="F17" s="40">
        <f>A!F$149</f>
        <v>0</v>
      </c>
      <c r="G17" s="40">
        <f>A!G$149</f>
        <v>0</v>
      </c>
      <c r="H17" s="40">
        <f>A!H$149</f>
        <v>0</v>
      </c>
      <c r="I17" s="40">
        <f>A!I$149</f>
        <v>0</v>
      </c>
      <c r="J17" s="40">
        <f>A!J$149</f>
        <v>0</v>
      </c>
      <c r="K17" s="40">
        <f>A!K$149</f>
        <v>0</v>
      </c>
      <c r="L17" s="40">
        <f>A!L$149</f>
        <v>0</v>
      </c>
      <c r="M17" s="40">
        <f>A!M$149</f>
        <v>0</v>
      </c>
      <c r="N17" s="40">
        <f>A!N$149</f>
        <v>0</v>
      </c>
      <c r="O17" s="40">
        <f>A!O$149</f>
        <v>0</v>
      </c>
      <c r="P17" s="40">
        <f>A!P$149</f>
        <v>0</v>
      </c>
      <c r="Q17" s="40">
        <f>A!Q$149</f>
        <v>0</v>
      </c>
      <c r="R17" s="40">
        <f>A!R$149</f>
        <v>0</v>
      </c>
      <c r="S17" s="40">
        <f>A!S$149</f>
        <v>0</v>
      </c>
      <c r="T17" s="40">
        <f>A!T$149</f>
        <v>0</v>
      </c>
      <c r="U17" s="40">
        <f>A!U$149</f>
        <v>0</v>
      </c>
      <c r="V17" s="40">
        <f>A!V$149</f>
        <v>0</v>
      </c>
      <c r="W17" s="40">
        <f>A!W$149</f>
        <v>0</v>
      </c>
      <c r="X17" s="40">
        <f>A!X$149</f>
        <v>0</v>
      </c>
      <c r="Y17" s="40">
        <f>A!Y$149</f>
        <v>0</v>
      </c>
      <c r="Z17" s="40">
        <f>A!Z$149</f>
        <v>0</v>
      </c>
      <c r="AA17" s="40">
        <f>A!AA$149</f>
        <v>0</v>
      </c>
      <c r="AB17" s="40">
        <f>A!AB$149</f>
        <v>0</v>
      </c>
      <c r="AC17" s="40">
        <f>A!AC$149</f>
        <v>0</v>
      </c>
      <c r="AD17" s="40">
        <f>A!AD$149</f>
        <v>0</v>
      </c>
      <c r="AE17" s="40">
        <f>A!AE$149</f>
        <v>0</v>
      </c>
      <c r="AF17" s="40">
        <f>A!AF$149</f>
        <v>0</v>
      </c>
      <c r="AG17" s="40">
        <f>A!AG$149</f>
        <v>0</v>
      </c>
      <c r="AH17" s="40">
        <f>A!AH$149</f>
        <v>0</v>
      </c>
      <c r="AI17" s="40">
        <f>A!AI$149</f>
        <v>0</v>
      </c>
    </row>
    <row r="18" spans="1:35" ht="15" customHeight="1" x14ac:dyDescent="0.2">
      <c r="A18" s="173" t="str">
        <f>A!A$150</f>
        <v>Community PILOT / Lease</v>
      </c>
      <c r="B18" s="113">
        <f>A!B$150</f>
        <v>0.06</v>
      </c>
      <c r="C18" s="182">
        <f>A!C$150</f>
        <v>319583.90395671001</v>
      </c>
      <c r="E18" s="40">
        <f>A!E$150</f>
        <v>0</v>
      </c>
      <c r="F18" s="40">
        <f>A!F$150</f>
        <v>25000</v>
      </c>
      <c r="G18" s="40">
        <f>A!G$150</f>
        <v>25000</v>
      </c>
      <c r="H18" s="40">
        <f>A!H$150</f>
        <v>25000</v>
      </c>
      <c r="I18" s="40">
        <f>A!I$150</f>
        <v>25000</v>
      </c>
      <c r="J18" s="40">
        <f>A!J$150</f>
        <v>25000</v>
      </c>
      <c r="K18" s="40">
        <f>A!K$150</f>
        <v>25000</v>
      </c>
      <c r="L18" s="40">
        <f>A!L$150</f>
        <v>25000</v>
      </c>
      <c r="M18" s="40">
        <f>A!M$150</f>
        <v>25000</v>
      </c>
      <c r="N18" s="40">
        <f>A!N$150</f>
        <v>25000</v>
      </c>
      <c r="O18" s="40">
        <f>A!O$150</f>
        <v>25000</v>
      </c>
      <c r="P18" s="40">
        <f>A!P$150</f>
        <v>25000</v>
      </c>
      <c r="Q18" s="40">
        <f>A!Q$150</f>
        <v>25000</v>
      </c>
      <c r="R18" s="40">
        <f>A!R$150</f>
        <v>25000</v>
      </c>
      <c r="S18" s="40">
        <f>A!S$150</f>
        <v>25000</v>
      </c>
      <c r="T18" s="40">
        <f>A!T$150</f>
        <v>25000</v>
      </c>
      <c r="U18" s="40">
        <f>A!U$150</f>
        <v>25000</v>
      </c>
      <c r="V18" s="40">
        <f>A!V$150</f>
        <v>25000</v>
      </c>
      <c r="W18" s="40">
        <f>A!W$150</f>
        <v>25000</v>
      </c>
      <c r="X18" s="40">
        <f>A!X$150</f>
        <v>25000</v>
      </c>
      <c r="Y18" s="40">
        <f>A!Y$150</f>
        <v>25000</v>
      </c>
      <c r="Z18" s="40">
        <f>A!Z$150</f>
        <v>25000</v>
      </c>
      <c r="AA18" s="40">
        <f>A!AA$150</f>
        <v>25000</v>
      </c>
      <c r="AB18" s="40">
        <f>A!AB$150</f>
        <v>25000</v>
      </c>
      <c r="AC18" s="40">
        <f>A!AC$150</f>
        <v>25000</v>
      </c>
      <c r="AD18" s="40">
        <f>A!AD$150</f>
        <v>25000</v>
      </c>
      <c r="AE18" s="40">
        <f>A!AE$150</f>
        <v>0</v>
      </c>
      <c r="AF18" s="40">
        <f>A!AF$150</f>
        <v>0</v>
      </c>
      <c r="AG18" s="40">
        <f>A!AG$150</f>
        <v>0</v>
      </c>
      <c r="AH18" s="40">
        <f>A!AH$150</f>
        <v>0</v>
      </c>
      <c r="AI18" s="40">
        <f>A!AI$150</f>
        <v>0</v>
      </c>
    </row>
    <row r="19" spans="1:35" ht="15" customHeight="1" x14ac:dyDescent="0.2">
      <c r="A19" s="2"/>
      <c r="B19" s="2"/>
      <c r="C19" s="9"/>
      <c r="E19" s="2"/>
      <c r="F19" s="2"/>
      <c r="G19" s="2"/>
      <c r="H19" s="2"/>
      <c r="I19" s="2"/>
      <c r="J19" s="2"/>
      <c r="K19" s="2"/>
      <c r="L19" s="2"/>
      <c r="M19" s="2"/>
      <c r="N19" s="2"/>
      <c r="O19" s="2"/>
      <c r="P19" s="2"/>
      <c r="Q19" s="2"/>
      <c r="R19" s="2"/>
      <c r="S19" s="2"/>
      <c r="T19" s="2"/>
      <c r="U19" s="26"/>
      <c r="V19" s="2"/>
      <c r="W19" s="2"/>
      <c r="X19" s="2"/>
      <c r="Y19" s="2"/>
      <c r="Z19" s="2"/>
      <c r="AA19" s="2"/>
      <c r="AB19" s="2"/>
      <c r="AC19" s="2"/>
      <c r="AD19" s="2"/>
      <c r="AE19" s="2"/>
      <c r="AF19" s="2"/>
      <c r="AG19" s="2"/>
      <c r="AH19" s="2"/>
      <c r="AI19" s="2"/>
    </row>
    <row r="20" spans="1:35" ht="15" customHeight="1" x14ac:dyDescent="0.25">
      <c r="A20" s="186" t="str">
        <f>A!A$152</f>
        <v>Total</v>
      </c>
      <c r="B20" s="176"/>
      <c r="C20" s="182">
        <f>A!C$152</f>
        <v>1359895.6770899058</v>
      </c>
      <c r="E20" s="40">
        <f>A!E$152</f>
        <v>-621600</v>
      </c>
      <c r="F20" s="40">
        <f>A!F$152</f>
        <v>225651.94632806641</v>
      </c>
      <c r="G20" s="40">
        <f>A!G$152</f>
        <v>267674.85871277965</v>
      </c>
      <c r="H20" s="40">
        <f>A!H$152</f>
        <v>214364.75363513207</v>
      </c>
      <c r="I20" s="40">
        <f>A!I$152</f>
        <v>180504.5596259548</v>
      </c>
      <c r="J20" s="40">
        <f>A!J$152</f>
        <v>175904.42972633376</v>
      </c>
      <c r="K20" s="40">
        <f>A!K$152</f>
        <v>148986.61376009881</v>
      </c>
      <c r="L20" s="40">
        <f>A!L$152</f>
        <v>121837.25622502291</v>
      </c>
      <c r="M20" s="40">
        <f>A!M$152</f>
        <v>116541.71165991278</v>
      </c>
      <c r="N20" s="40">
        <f>A!N$152</f>
        <v>110985.71333620638</v>
      </c>
      <c r="O20" s="40">
        <f>A!O$152</f>
        <v>54277.499113609971</v>
      </c>
      <c r="P20" s="40">
        <f>A!P$152</f>
        <v>99028.366289681435</v>
      </c>
      <c r="Q20" s="40">
        <f>A!Q$152</f>
        <v>92592.615263062326</v>
      </c>
      <c r="R20" s="40">
        <f>A!R$152</f>
        <v>85827.489819245442</v>
      </c>
      <c r="S20" s="40">
        <f>A!S$152</f>
        <v>78713.11383629925</v>
      </c>
      <c r="T20" s="40">
        <f>A!T$152</f>
        <v>71228.424195817424</v>
      </c>
      <c r="U20" s="40">
        <f>A!U$152</f>
        <v>159353.58078341352</v>
      </c>
      <c r="V20" s="40">
        <f>A!V$152</f>
        <v>158393.78820299395</v>
      </c>
      <c r="W20" s="40">
        <f>A!W$152</f>
        <v>157432.66723478111</v>
      </c>
      <c r="X20" s="40">
        <f>A!X$152</f>
        <v>156470.0534869883</v>
      </c>
      <c r="Y20" s="40">
        <f>A!Y$152</f>
        <v>104629.77884798005</v>
      </c>
      <c r="Z20" s="40">
        <f>A!Z$152</f>
        <v>191225.32376917763</v>
      </c>
      <c r="AA20" s="40">
        <f>A!AA$152</f>
        <v>193471.44042313576</v>
      </c>
      <c r="AB20" s="40">
        <f>A!AB$152</f>
        <v>195749.92251590959</v>
      </c>
      <c r="AC20" s="40">
        <f>A!AC$152</f>
        <v>198061.16758684212</v>
      </c>
      <c r="AD20" s="40">
        <f>A!AD$152</f>
        <v>200405.57726678616</v>
      </c>
      <c r="AE20" s="40">
        <f>A!AE$152</f>
        <v>0</v>
      </c>
      <c r="AF20" s="40">
        <f>A!AF$152</f>
        <v>0</v>
      </c>
      <c r="AG20" s="40">
        <f>A!AG$152</f>
        <v>0</v>
      </c>
      <c r="AH20" s="40">
        <f>A!AH$152</f>
        <v>0</v>
      </c>
      <c r="AI20" s="40">
        <f>A!AI$152</f>
        <v>0</v>
      </c>
    </row>
    <row r="21" spans="1:35" ht="15" customHeight="1" x14ac:dyDescent="0.2">
      <c r="A21" s="185" t="str">
        <f>A!A$153</f>
        <v>Local Economy</v>
      </c>
      <c r="B21" s="175">
        <f>A!B$153</f>
        <v>0.06</v>
      </c>
      <c r="C21" s="182">
        <f>A!C$153</f>
        <v>370947.92176916794</v>
      </c>
      <c r="E21" s="40">
        <f>A!E$153</f>
        <v>0</v>
      </c>
      <c r="F21" s="40">
        <f>A!F$153</f>
        <v>28495.24</v>
      </c>
      <c r="G21" s="40">
        <f>A!G$153</f>
        <v>28547.319076</v>
      </c>
      <c r="H21" s="40">
        <f>A!H$153</f>
        <v>28600.174130232401</v>
      </c>
      <c r="I21" s="40">
        <f>A!I$153</f>
        <v>28653.816724772863</v>
      </c>
      <c r="J21" s="40">
        <f>A!J$153</f>
        <v>28708.258593971979</v>
      </c>
      <c r="K21" s="40">
        <f>A!K$153</f>
        <v>28763.511647022162</v>
      </c>
      <c r="L21" s="40">
        <f>A!L$153</f>
        <v>28819.587970562792</v>
      </c>
      <c r="M21" s="40">
        <f>A!M$153</f>
        <v>28876.499831324178</v>
      </c>
      <c r="N21" s="40">
        <f>A!N$153</f>
        <v>28934.259678810908</v>
      </c>
      <c r="O21" s="40">
        <f>A!O$153</f>
        <v>28992.88014802519</v>
      </c>
      <c r="P21" s="40">
        <f>A!P$153</f>
        <v>29052.374062230767</v>
      </c>
      <c r="Q21" s="40">
        <f>A!Q$153</f>
        <v>29112.754435758005</v>
      </c>
      <c r="R21" s="40">
        <f>A!R$153</f>
        <v>29174.0344768508</v>
      </c>
      <c r="S21" s="40">
        <f>A!S$153</f>
        <v>29236.227590555874</v>
      </c>
      <c r="T21" s="40">
        <f>A!T$153</f>
        <v>29299.34738165516</v>
      </c>
      <c r="U21" s="40">
        <f>A!U$153</f>
        <v>29363.407657641819</v>
      </c>
      <c r="V21" s="40">
        <f>A!V$153</f>
        <v>29428.422431740684</v>
      </c>
      <c r="W21" s="40">
        <f>A!W$153</f>
        <v>29494.405925973617</v>
      </c>
      <c r="X21" s="40">
        <f>A!X$153</f>
        <v>29561.372574270623</v>
      </c>
      <c r="Y21" s="40">
        <f>A!Y$153</f>
        <v>29629.337025627257</v>
      </c>
      <c r="Z21" s="40">
        <f>A!Z$153</f>
        <v>29698.314147309102</v>
      </c>
      <c r="AA21" s="40">
        <f>A!AA$153</f>
        <v>29768.319028104008</v>
      </c>
      <c r="AB21" s="40">
        <f>A!AB$153</f>
        <v>29839.366981622759</v>
      </c>
      <c r="AC21" s="40">
        <f>A!AC$153</f>
        <v>29911.473549648937</v>
      </c>
      <c r="AD21" s="40">
        <f>A!AD$153</f>
        <v>29984.654505538703</v>
      </c>
      <c r="AE21" s="40">
        <f>A!AE$153</f>
        <v>0</v>
      </c>
      <c r="AF21" s="40">
        <f>A!AF$153</f>
        <v>0</v>
      </c>
      <c r="AG21" s="40">
        <f>A!AG$153</f>
        <v>0</v>
      </c>
      <c r="AH21" s="40">
        <f>A!AH$153</f>
        <v>0</v>
      </c>
      <c r="AI21" s="40">
        <f>A!AI$153</f>
        <v>0</v>
      </c>
    </row>
    <row r="22" spans="1:35" ht="15" customHeight="1" x14ac:dyDescent="0.2">
      <c r="A22" s="185" t="str">
        <f>A!A$154</f>
        <v>Outside Economy</v>
      </c>
      <c r="B22" s="175">
        <f>A!B$154</f>
        <v>0.06</v>
      </c>
      <c r="C22" s="182">
        <f>A!C$154</f>
        <v>988947.75532073784</v>
      </c>
      <c r="E22" s="40">
        <f>A!E$154</f>
        <v>-621600</v>
      </c>
      <c r="F22" s="40">
        <f>A!F$154</f>
        <v>197156.70632806642</v>
      </c>
      <c r="G22" s="40">
        <f>A!G$154</f>
        <v>239127.53963677963</v>
      </c>
      <c r="H22" s="40">
        <f>A!H$154</f>
        <v>185764.57950489968</v>
      </c>
      <c r="I22" s="40">
        <f>A!I$154</f>
        <v>151850.74290118195</v>
      </c>
      <c r="J22" s="40">
        <f>A!J$154</f>
        <v>147196.17113236178</v>
      </c>
      <c r="K22" s="40">
        <f>A!K$154</f>
        <v>120223.10211307666</v>
      </c>
      <c r="L22" s="40">
        <f>A!L$154</f>
        <v>93017.668254460121</v>
      </c>
      <c r="M22" s="40">
        <f>A!M$154</f>
        <v>87665.211828588595</v>
      </c>
      <c r="N22" s="40">
        <f>A!N$154</f>
        <v>82051.453657395468</v>
      </c>
      <c r="O22" s="40">
        <f>A!O$154</f>
        <v>25284.618965584781</v>
      </c>
      <c r="P22" s="40">
        <f>A!P$154</f>
        <v>69975.992227450668</v>
      </c>
      <c r="Q22" s="40">
        <f>A!Q$154</f>
        <v>63479.860827304328</v>
      </c>
      <c r="R22" s="40">
        <f>A!R$154</f>
        <v>56653.455342394634</v>
      </c>
      <c r="S22" s="40">
        <f>A!S$154</f>
        <v>49476.886245743372</v>
      </c>
      <c r="T22" s="40">
        <f>A!T$154</f>
        <v>41929.076814162268</v>
      </c>
      <c r="U22" s="40">
        <f>A!U$154</f>
        <v>129990.1731257717</v>
      </c>
      <c r="V22" s="40">
        <f>A!V$154</f>
        <v>128965.36577125327</v>
      </c>
      <c r="W22" s="40">
        <f>A!W$154</f>
        <v>127938.2613088075</v>
      </c>
      <c r="X22" s="40">
        <f>A!X$154</f>
        <v>126908.68091271768</v>
      </c>
      <c r="Y22" s="40">
        <f>A!Y$154</f>
        <v>75000.44182235279</v>
      </c>
      <c r="Z22" s="40">
        <f>A!Z$154</f>
        <v>161527.00962186852</v>
      </c>
      <c r="AA22" s="40">
        <f>A!AA$154</f>
        <v>163703.12139503175</v>
      </c>
      <c r="AB22" s="40">
        <f>A!AB$154</f>
        <v>165910.55553428683</v>
      </c>
      <c r="AC22" s="40">
        <f>A!AC$154</f>
        <v>168149.69403719317</v>
      </c>
      <c r="AD22" s="40">
        <f>A!AD$154</f>
        <v>170420.92276124746</v>
      </c>
      <c r="AE22" s="40">
        <f>A!AE$154</f>
        <v>0</v>
      </c>
      <c r="AF22" s="40">
        <f>A!AF$154</f>
        <v>0</v>
      </c>
      <c r="AG22" s="40">
        <f>A!AG$154</f>
        <v>0</v>
      </c>
      <c r="AH22" s="40">
        <f>A!AH$154</f>
        <v>0</v>
      </c>
      <c r="AI22" s="40">
        <f>A!AI$154</f>
        <v>0</v>
      </c>
    </row>
    <row r="23" spans="1:35" ht="15" customHeight="1" x14ac:dyDescent="0.2">
      <c r="A23" s="185" t="str">
        <f>A!A$155</f>
        <v>Cumulative  - Local</v>
      </c>
      <c r="B23" s="175">
        <f>A!B$155</f>
        <v>0</v>
      </c>
      <c r="C23" s="182">
        <f>A!C$155</f>
        <v>729945.35957525042</v>
      </c>
      <c r="E23" s="40">
        <f>A!E$155</f>
        <v>0</v>
      </c>
      <c r="F23" s="40">
        <f>A!F$155</f>
        <v>28495.24</v>
      </c>
      <c r="G23" s="40">
        <f>A!G$155</f>
        <v>57042.559076000005</v>
      </c>
      <c r="H23" s="40">
        <f>A!H$155</f>
        <v>85642.733206232399</v>
      </c>
      <c r="I23" s="40">
        <f>A!I$155</f>
        <v>114296.54993100525</v>
      </c>
      <c r="J23" s="40">
        <f>A!J$155</f>
        <v>143004.80852497724</v>
      </c>
      <c r="K23" s="40">
        <f>A!K$155</f>
        <v>171768.3201719994</v>
      </c>
      <c r="L23" s="40">
        <f>A!L$155</f>
        <v>200587.9081425622</v>
      </c>
      <c r="M23" s="40">
        <f>A!M$155</f>
        <v>229464.40797388638</v>
      </c>
      <c r="N23" s="40">
        <f>A!N$155</f>
        <v>258398.6676526973</v>
      </c>
      <c r="O23" s="40">
        <f>A!O$155</f>
        <v>287391.54780072247</v>
      </c>
      <c r="P23" s="40">
        <f>A!P$155</f>
        <v>316443.92186295323</v>
      </c>
      <c r="Q23" s="40">
        <f>A!Q$155</f>
        <v>345556.67629871122</v>
      </c>
      <c r="R23" s="40">
        <f>A!R$155</f>
        <v>374730.71077556204</v>
      </c>
      <c r="S23" s="40">
        <f>A!S$155</f>
        <v>403966.93836611789</v>
      </c>
      <c r="T23" s="40">
        <f>A!T$155</f>
        <v>433266.28574777307</v>
      </c>
      <c r="U23" s="40">
        <f>A!U$155</f>
        <v>462629.69340541487</v>
      </c>
      <c r="V23" s="40">
        <f>A!V$155</f>
        <v>492058.11583715555</v>
      </c>
      <c r="W23" s="40">
        <f>A!W$155</f>
        <v>521552.52176312916</v>
      </c>
      <c r="X23" s="40">
        <f>A!X$155</f>
        <v>551113.89433739975</v>
      </c>
      <c r="Y23" s="40">
        <f>A!Y$155</f>
        <v>580743.23136302701</v>
      </c>
      <c r="Z23" s="40">
        <f>A!Z$155</f>
        <v>610441.54551033606</v>
      </c>
      <c r="AA23" s="40">
        <f>A!AA$155</f>
        <v>640209.86453844002</v>
      </c>
      <c r="AB23" s="40">
        <f>A!AB$155</f>
        <v>670049.23152006278</v>
      </c>
      <c r="AC23" s="40">
        <f>A!AC$155</f>
        <v>699960.70506971166</v>
      </c>
      <c r="AD23" s="40">
        <f>A!AD$155</f>
        <v>729945.35957525042</v>
      </c>
      <c r="AE23" s="40">
        <f>A!AE$155</f>
        <v>729945.35957525042</v>
      </c>
      <c r="AF23" s="40">
        <f>A!AF$155</f>
        <v>729945.35957525042</v>
      </c>
      <c r="AG23" s="40">
        <f>A!AG$155</f>
        <v>729945.35957525042</v>
      </c>
      <c r="AH23" s="40">
        <f>A!AH$155</f>
        <v>729945.35957525042</v>
      </c>
      <c r="AI23" s="40">
        <f>A!AI$155</f>
        <v>729945.35957525042</v>
      </c>
    </row>
    <row r="24" spans="1:35" ht="15" x14ac:dyDescent="0.2">
      <c r="A24" s="185" t="str">
        <f>A!A$156</f>
        <v>Cumulative  - Outside</v>
      </c>
      <c r="B24" s="175">
        <f>A!B$156</f>
        <v>0</v>
      </c>
      <c r="C24" s="182">
        <f>A!C$156</f>
        <v>2407767.2920699813</v>
      </c>
      <c r="E24" s="40">
        <f>A!E$156</f>
        <v>-621600</v>
      </c>
      <c r="F24" s="40">
        <f>A!F$156</f>
        <v>-424443.29367193358</v>
      </c>
      <c r="G24" s="40">
        <f>A!G$156</f>
        <v>-185315.75403515395</v>
      </c>
      <c r="H24" s="40">
        <f>A!H$156</f>
        <v>448.82546974573052</v>
      </c>
      <c r="I24" s="40">
        <f>A!I$156</f>
        <v>152299.56837092768</v>
      </c>
      <c r="J24" s="40">
        <f>A!J$156</f>
        <v>299495.73950328946</v>
      </c>
      <c r="K24" s="40">
        <f>A!K$156</f>
        <v>419718.84161636612</v>
      </c>
      <c r="L24" s="40">
        <f>A!L$156</f>
        <v>512736.50987082627</v>
      </c>
      <c r="M24" s="40">
        <f>A!M$156</f>
        <v>600401.72169941489</v>
      </c>
      <c r="N24" s="40">
        <f>A!N$156</f>
        <v>682453.17535681033</v>
      </c>
      <c r="O24" s="40">
        <f>A!O$156</f>
        <v>707737.79432239512</v>
      </c>
      <c r="P24" s="40">
        <f>A!P$156</f>
        <v>777713.78654984583</v>
      </c>
      <c r="Q24" s="40">
        <f>A!Q$156</f>
        <v>841193.64737715013</v>
      </c>
      <c r="R24" s="40">
        <f>A!R$156</f>
        <v>897847.10271954478</v>
      </c>
      <c r="S24" s="40">
        <f>A!S$156</f>
        <v>947323.98896528815</v>
      </c>
      <c r="T24" s="40">
        <f>A!T$156</f>
        <v>989253.06577945047</v>
      </c>
      <c r="U24" s="40">
        <f>A!U$156</f>
        <v>1119243.2389052222</v>
      </c>
      <c r="V24" s="40">
        <f>A!V$156</f>
        <v>1248208.6046764755</v>
      </c>
      <c r="W24" s="40">
        <f>A!W$156</f>
        <v>1376146.8659852829</v>
      </c>
      <c r="X24" s="40">
        <f>A!X$156</f>
        <v>1503055.5468980006</v>
      </c>
      <c r="Y24" s="40">
        <f>A!Y$156</f>
        <v>1578055.9887203535</v>
      </c>
      <c r="Z24" s="40">
        <f>A!Z$156</f>
        <v>1739582.9983422221</v>
      </c>
      <c r="AA24" s="40">
        <f>A!AA$156</f>
        <v>1903286.1197372538</v>
      </c>
      <c r="AB24" s="40">
        <f>A!AB$156</f>
        <v>2069196.6752715406</v>
      </c>
      <c r="AC24" s="40">
        <f>A!AC$156</f>
        <v>2237346.3693087338</v>
      </c>
      <c r="AD24" s="40">
        <f>A!AD$156</f>
        <v>2407767.2920699813</v>
      </c>
      <c r="AE24" s="40">
        <f>A!AE$156</f>
        <v>2407767.2920699813</v>
      </c>
      <c r="AF24" s="40">
        <f>A!AF$156</f>
        <v>2407767.2920699813</v>
      </c>
      <c r="AG24" s="40">
        <f>A!AG$156</f>
        <v>2407767.2920699813</v>
      </c>
      <c r="AH24" s="40">
        <f>A!AH$156</f>
        <v>2407767.2920699813</v>
      </c>
      <c r="AI24" s="40">
        <f>A!AI$156</f>
        <v>2407767.2920699813</v>
      </c>
    </row>
    <row r="25" spans="1:35" ht="15" x14ac:dyDescent="0.2">
      <c r="A25" s="185" t="str">
        <f>A!A$157</f>
        <v>Local Investment Risk (Debt + Equity)</v>
      </c>
      <c r="B25" s="175">
        <f>A!B$157</f>
        <v>0</v>
      </c>
      <c r="C25" s="182">
        <f>A!C$157</f>
        <v>0</v>
      </c>
      <c r="E25" s="40">
        <f>A!E$157</f>
        <v>0</v>
      </c>
      <c r="F25" s="40">
        <f>A!F$157</f>
        <v>0</v>
      </c>
      <c r="G25" s="40">
        <f>A!G$157</f>
        <v>0</v>
      </c>
      <c r="H25" s="40">
        <f>A!H$157</f>
        <v>0</v>
      </c>
      <c r="I25" s="40">
        <f>A!I$157</f>
        <v>0</v>
      </c>
      <c r="J25" s="40">
        <f>A!J$157</f>
        <v>0</v>
      </c>
      <c r="K25" s="40">
        <f>A!K$157</f>
        <v>0</v>
      </c>
      <c r="L25" s="40">
        <f>A!L$157</f>
        <v>0</v>
      </c>
      <c r="M25" s="40">
        <f>A!M$157</f>
        <v>0</v>
      </c>
      <c r="N25" s="40">
        <f>A!N$157</f>
        <v>0</v>
      </c>
      <c r="O25" s="40">
        <f>A!O$157</f>
        <v>0</v>
      </c>
      <c r="P25" s="40">
        <f>A!P$157</f>
        <v>0</v>
      </c>
      <c r="Q25" s="40">
        <f>A!Q$157</f>
        <v>0</v>
      </c>
      <c r="R25" s="40">
        <f>A!R$157</f>
        <v>0</v>
      </c>
      <c r="S25" s="40">
        <f>A!S$157</f>
        <v>0</v>
      </c>
      <c r="T25" s="40">
        <f>A!T$157</f>
        <v>0</v>
      </c>
      <c r="U25" s="40">
        <f>A!U$157</f>
        <v>0</v>
      </c>
      <c r="V25" s="40">
        <f>A!V$157</f>
        <v>0</v>
      </c>
      <c r="W25" s="40">
        <f>A!W$157</f>
        <v>0</v>
      </c>
      <c r="X25" s="40">
        <f>A!X$157</f>
        <v>0</v>
      </c>
      <c r="Y25" s="40">
        <f>A!Y$157</f>
        <v>0</v>
      </c>
      <c r="Z25" s="40">
        <f>A!Z$157</f>
        <v>0</v>
      </c>
      <c r="AA25" s="40">
        <f>A!AA$157</f>
        <v>0</v>
      </c>
      <c r="AB25" s="40">
        <f>A!AB$157</f>
        <v>0</v>
      </c>
      <c r="AC25" s="40">
        <f>A!AC$157</f>
        <v>0</v>
      </c>
      <c r="AD25" s="40">
        <f>A!AD$157</f>
        <v>0</v>
      </c>
      <c r="AE25" s="40">
        <f>A!AE$157</f>
        <v>0</v>
      </c>
      <c r="AF25" s="40">
        <f>A!AF$157</f>
        <v>0</v>
      </c>
      <c r="AG25" s="40">
        <f>A!AG$157</f>
        <v>0</v>
      </c>
      <c r="AH25" s="40">
        <f>A!AH$157</f>
        <v>0</v>
      </c>
      <c r="AI25" s="40">
        <f>A!AI$157</f>
        <v>0</v>
      </c>
    </row>
    <row r="26" spans="1:35" ht="15" x14ac:dyDescent="0.2">
      <c r="A26" s="185" t="str">
        <f>A!A$158</f>
        <v>Outside Investment Risk (Debt + Equity)</v>
      </c>
      <c r="B26" s="175">
        <f>A!B$158</f>
        <v>0</v>
      </c>
      <c r="C26" s="182">
        <f>A!C$158</f>
        <v>1554000</v>
      </c>
      <c r="E26" s="40">
        <f>A!E$158</f>
        <v>0</v>
      </c>
      <c r="F26" s="40">
        <f>A!F$158</f>
        <v>0</v>
      </c>
      <c r="G26" s="40">
        <f>A!G$158</f>
        <v>0</v>
      </c>
      <c r="H26" s="40">
        <f>A!H$158</f>
        <v>0</v>
      </c>
      <c r="I26" s="40">
        <f>A!I$158</f>
        <v>0</v>
      </c>
      <c r="J26" s="40">
        <f>A!J$158</f>
        <v>0</v>
      </c>
      <c r="K26" s="40">
        <f>A!K$158</f>
        <v>0</v>
      </c>
      <c r="L26" s="40">
        <f>A!L$158</f>
        <v>0</v>
      </c>
      <c r="M26" s="40">
        <f>A!M$158</f>
        <v>0</v>
      </c>
      <c r="N26" s="40">
        <f>A!N$158</f>
        <v>0</v>
      </c>
      <c r="O26" s="40">
        <f>A!O$158</f>
        <v>0</v>
      </c>
      <c r="P26" s="40">
        <f>A!P$158</f>
        <v>0</v>
      </c>
      <c r="Q26" s="40">
        <f>A!Q$158</f>
        <v>0</v>
      </c>
      <c r="R26" s="40">
        <f>A!R$158</f>
        <v>0</v>
      </c>
      <c r="S26" s="40">
        <f>A!S$158</f>
        <v>0</v>
      </c>
      <c r="T26" s="40">
        <f>A!T$158</f>
        <v>0</v>
      </c>
      <c r="U26" s="40">
        <f>A!U$158</f>
        <v>0</v>
      </c>
      <c r="V26" s="40">
        <f>A!V$158</f>
        <v>0</v>
      </c>
      <c r="W26" s="40">
        <f>A!W$158</f>
        <v>0</v>
      </c>
      <c r="X26" s="40">
        <f>A!X$158</f>
        <v>0</v>
      </c>
      <c r="Y26" s="40">
        <f>A!Y$158</f>
        <v>0</v>
      </c>
      <c r="Z26" s="40">
        <f>A!Z$158</f>
        <v>0</v>
      </c>
      <c r="AA26" s="40">
        <f>A!AA$158</f>
        <v>0</v>
      </c>
      <c r="AB26" s="40">
        <f>A!AB$158</f>
        <v>0</v>
      </c>
      <c r="AC26" s="40">
        <f>A!AC$158</f>
        <v>0</v>
      </c>
      <c r="AD26" s="40">
        <f>A!AD$158</f>
        <v>0</v>
      </c>
      <c r="AE26" s="40">
        <f>A!AE$158</f>
        <v>0</v>
      </c>
      <c r="AF26" s="40">
        <f>A!AF$158</f>
        <v>0</v>
      </c>
      <c r="AG26" s="40">
        <f>A!AG$158</f>
        <v>0</v>
      </c>
      <c r="AH26" s="40">
        <f>A!AH$158</f>
        <v>0</v>
      </c>
      <c r="AI26" s="40">
        <f>A!AI$158</f>
        <v>0</v>
      </c>
    </row>
    <row r="27" spans="1:35" x14ac:dyDescent="0.2">
      <c r="C27" s="178"/>
    </row>
    <row r="28" spans="1:35" ht="18.75" thickBot="1" x14ac:dyDescent="0.3">
      <c r="A28" s="168" t="s">
        <v>162</v>
      </c>
      <c r="C28" s="178"/>
    </row>
    <row r="29" spans="1:35" ht="23.25" x14ac:dyDescent="0.2">
      <c r="A29" s="164" t="str">
        <f>B!B$8</f>
        <v>Third Party Flip</v>
      </c>
      <c r="C29" s="178"/>
    </row>
    <row r="30" spans="1:35" ht="15" customHeight="1" x14ac:dyDescent="0.25">
      <c r="A30" s="172" t="str">
        <f>B!A$141</f>
        <v>Outside Economy</v>
      </c>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row>
    <row r="31" spans="1:35" ht="15" customHeight="1" x14ac:dyDescent="0.25">
      <c r="A31" s="173" t="str">
        <f>B!A$142</f>
        <v>Original Owner - Outside</v>
      </c>
      <c r="B31" s="113">
        <f>B!B$142</f>
        <v>0.06</v>
      </c>
      <c r="C31" s="182">
        <f>B!C$142</f>
        <v>39745.501193566364</v>
      </c>
      <c r="D31" s="181">
        <f>IF(C31=0,"",IRR(E31:AI31,B31))</f>
        <v>7.1940916775407482E-2</v>
      </c>
      <c r="E31" s="40">
        <f>B!E$142</f>
        <v>-621600</v>
      </c>
      <c r="F31" s="40">
        <f>B!F$142</f>
        <v>96550.943195314088</v>
      </c>
      <c r="G31" s="40">
        <f>B!G$142</f>
        <v>140214.04934179119</v>
      </c>
      <c r="H31" s="40">
        <f>B!H$142</f>
        <v>88654.293483251473</v>
      </c>
      <c r="I31" s="40">
        <f>B!I$142</f>
        <v>56661.388461057853</v>
      </c>
      <c r="J31" s="40">
        <f>B!J$142</f>
        <v>54052.681292708294</v>
      </c>
      <c r="K31" s="40">
        <f>B!K$142</f>
        <v>29258.0500631256</v>
      </c>
      <c r="L31" s="40">
        <f>B!L$142</f>
        <v>4371.7279123638873</v>
      </c>
      <c r="M31" s="40">
        <f>B!M$142</f>
        <v>1487.6460655851697</v>
      </c>
      <c r="N31" s="40">
        <f>B!N$142</f>
        <v>-1499.3681520881801</v>
      </c>
      <c r="O31" s="40">
        <f>B!O$142</f>
        <v>469528.56562331866</v>
      </c>
      <c r="P31" s="40">
        <f>B!P$142</f>
        <v>0</v>
      </c>
      <c r="Q31" s="40">
        <f>B!Q$142</f>
        <v>0</v>
      </c>
      <c r="R31" s="40">
        <f>B!R$142</f>
        <v>0</v>
      </c>
      <c r="S31" s="40">
        <f>B!S$142</f>
        <v>0</v>
      </c>
      <c r="T31" s="40">
        <f>B!T$142</f>
        <v>0</v>
      </c>
      <c r="U31" s="40">
        <f>B!U$142</f>
        <v>0</v>
      </c>
      <c r="V31" s="40">
        <f>B!V$142</f>
        <v>0</v>
      </c>
      <c r="W31" s="40">
        <f>B!W$142</f>
        <v>0</v>
      </c>
      <c r="X31" s="40">
        <f>B!X$142</f>
        <v>0</v>
      </c>
      <c r="Y31" s="40">
        <f>B!Y$142</f>
        <v>0</v>
      </c>
      <c r="Z31" s="40">
        <f>B!Z$142</f>
        <v>0</v>
      </c>
      <c r="AA31" s="40">
        <f>B!AA$142</f>
        <v>0</v>
      </c>
      <c r="AB31" s="40">
        <f>B!AB$142</f>
        <v>0</v>
      </c>
      <c r="AC31" s="40">
        <f>B!AC$142</f>
        <v>0</v>
      </c>
      <c r="AD31" s="40">
        <f>B!AD$142</f>
        <v>0</v>
      </c>
      <c r="AE31" s="40">
        <f>B!AE$142</f>
        <v>0</v>
      </c>
      <c r="AF31" s="40">
        <f>B!AF$142</f>
        <v>0</v>
      </c>
      <c r="AG31" s="40">
        <f>B!AG$142</f>
        <v>0</v>
      </c>
      <c r="AH31" s="40">
        <f>B!AH$142</f>
        <v>0</v>
      </c>
      <c r="AI31" s="40">
        <f>B!AI$142</f>
        <v>0</v>
      </c>
    </row>
    <row r="32" spans="1:35" ht="15" customHeight="1" x14ac:dyDescent="0.2">
      <c r="A32" s="173" t="str">
        <f>B!A$143</f>
        <v>Offtakers Outside Economy</v>
      </c>
      <c r="B32" s="113">
        <f>B!B$143</f>
        <v>0.06</v>
      </c>
      <c r="C32" s="182">
        <f>B!C$143</f>
        <v>102728.03562491602</v>
      </c>
      <c r="E32" s="40">
        <f>B!E$143</f>
        <v>0</v>
      </c>
      <c r="F32" s="40">
        <f>B!F$143</f>
        <v>6990.4800000000005</v>
      </c>
      <c r="G32" s="40">
        <f>B!G$143</f>
        <v>7094.6381520000014</v>
      </c>
      <c r="H32" s="40">
        <f>B!H$143</f>
        <v>7200.3482604648016</v>
      </c>
      <c r="I32" s="40">
        <f>B!I$143</f>
        <v>7307.6334495457268</v>
      </c>
      <c r="J32" s="40">
        <f>B!J$143</f>
        <v>7416.5171879439586</v>
      </c>
      <c r="K32" s="40">
        <f>B!K$143</f>
        <v>7527.0232940443238</v>
      </c>
      <c r="L32" s="40">
        <f>B!L$143</f>
        <v>7639.1759411255844</v>
      </c>
      <c r="M32" s="40">
        <f>B!M$143</f>
        <v>7752.9996626483526</v>
      </c>
      <c r="N32" s="40">
        <f>B!N$143</f>
        <v>7868.5193576218153</v>
      </c>
      <c r="O32" s="40">
        <f>B!O$143</f>
        <v>7985.7602960503791</v>
      </c>
      <c r="P32" s="40">
        <f>B!P$143</f>
        <v>8104.7481244615301</v>
      </c>
      <c r="Q32" s="40">
        <f>B!Q$143</f>
        <v>8225.5088715160073</v>
      </c>
      <c r="R32" s="40">
        <f>B!R$143</f>
        <v>8348.0689537015969</v>
      </c>
      <c r="S32" s="40">
        <f>B!S$143</f>
        <v>8472.4551811117472</v>
      </c>
      <c r="T32" s="40">
        <f>B!T$143</f>
        <v>8598.6947633103173</v>
      </c>
      <c r="U32" s="40">
        <f>B!U$143</f>
        <v>8726.8153152836367</v>
      </c>
      <c r="V32" s="40">
        <f>B!V$143</f>
        <v>8856.8448634813649</v>
      </c>
      <c r="W32" s="40">
        <f>B!W$143</f>
        <v>8988.8118519472373</v>
      </c>
      <c r="X32" s="40">
        <f>B!X$143</f>
        <v>9122.7451485412494</v>
      </c>
      <c r="Y32" s="40">
        <f>B!Y$143</f>
        <v>9258.674051254513</v>
      </c>
      <c r="Z32" s="40">
        <f>B!Z$143</f>
        <v>9396.6282946182055</v>
      </c>
      <c r="AA32" s="40">
        <f>B!AA$143</f>
        <v>9536.6380562080158</v>
      </c>
      <c r="AB32" s="40">
        <f>B!AB$143</f>
        <v>9678.7339632455169</v>
      </c>
      <c r="AC32" s="40">
        <f>B!AC$143</f>
        <v>9822.9470992978731</v>
      </c>
      <c r="AD32" s="40">
        <f>B!AD$143</f>
        <v>9969.3090110774101</v>
      </c>
      <c r="AE32" s="40">
        <f>B!AE$143</f>
        <v>0</v>
      </c>
      <c r="AF32" s="40">
        <f>B!AF$143</f>
        <v>0</v>
      </c>
      <c r="AG32" s="40">
        <f>B!AG$143</f>
        <v>0</v>
      </c>
      <c r="AH32" s="40">
        <f>B!AH$143</f>
        <v>0</v>
      </c>
      <c r="AI32" s="40">
        <f>B!AI$143</f>
        <v>0</v>
      </c>
    </row>
    <row r="33" spans="1:35" ht="15" customHeight="1" x14ac:dyDescent="0.2">
      <c r="A33" s="173" t="str">
        <f>B!A$144</f>
        <v>Lender Outside Economy</v>
      </c>
      <c r="B33" s="113">
        <f>B!B$144</f>
        <v>0.06</v>
      </c>
      <c r="C33" s="182">
        <f>B!C$144</f>
        <v>265048.26184258598</v>
      </c>
      <c r="E33" s="40">
        <f>B!E$144</f>
        <v>0</v>
      </c>
      <c r="F33" s="40">
        <f>B!F$144</f>
        <v>55944</v>
      </c>
      <c r="G33" s="40">
        <f>B!G$144</f>
        <v>51699.642945318847</v>
      </c>
      <c r="H33" s="40">
        <f>B!H$144</f>
        <v>47200.624467356822</v>
      </c>
      <c r="I33" s="40">
        <f>B!I$144</f>
        <v>42431.664880717079</v>
      </c>
      <c r="J33" s="40">
        <f>B!J$144</f>
        <v>37376.567718878949</v>
      </c>
      <c r="K33" s="40">
        <f>B!K$144</f>
        <v>32018.164727330532</v>
      </c>
      <c r="L33" s="40">
        <f>B!L$144</f>
        <v>26338.257556289209</v>
      </c>
      <c r="M33" s="40">
        <f>B!M$144</f>
        <v>20317.555954985408</v>
      </c>
      <c r="N33" s="40">
        <f>B!N$144</f>
        <v>13935.612257603379</v>
      </c>
      <c r="O33" s="40">
        <f>B!O$144</f>
        <v>7170.7519383784283</v>
      </c>
      <c r="P33" s="40">
        <f>B!P$144</f>
        <v>0</v>
      </c>
      <c r="Q33" s="40">
        <f>B!Q$144</f>
        <v>0</v>
      </c>
      <c r="R33" s="40">
        <f>B!R$144</f>
        <v>0</v>
      </c>
      <c r="S33" s="40">
        <f>B!S$144</f>
        <v>0</v>
      </c>
      <c r="T33" s="40">
        <f>B!T$144</f>
        <v>0</v>
      </c>
      <c r="U33" s="40">
        <f>B!U$144</f>
        <v>0</v>
      </c>
      <c r="V33" s="40">
        <f>B!V$144</f>
        <v>0</v>
      </c>
      <c r="W33" s="40">
        <f>B!W$144</f>
        <v>0</v>
      </c>
      <c r="X33" s="40">
        <f>B!X$144</f>
        <v>0</v>
      </c>
      <c r="Y33" s="40">
        <f>B!Y$144</f>
        <v>0</v>
      </c>
      <c r="Z33" s="40">
        <f>B!Z$144</f>
        <v>0</v>
      </c>
      <c r="AA33" s="40">
        <f>B!AA$144</f>
        <v>0</v>
      </c>
      <c r="AB33" s="40">
        <f>B!AB$144</f>
        <v>0</v>
      </c>
      <c r="AC33" s="40">
        <f>B!AC$144</f>
        <v>0</v>
      </c>
      <c r="AD33" s="40">
        <f>B!AD$144</f>
        <v>0</v>
      </c>
      <c r="AE33" s="40">
        <f>B!AE$144</f>
        <v>0</v>
      </c>
      <c r="AF33" s="40">
        <f>B!AF$144</f>
        <v>0</v>
      </c>
      <c r="AG33" s="40">
        <f>B!AG$144</f>
        <v>0</v>
      </c>
      <c r="AH33" s="40">
        <f>B!AH$144</f>
        <v>0</v>
      </c>
      <c r="AI33" s="40">
        <f>B!AI$144</f>
        <v>0</v>
      </c>
    </row>
    <row r="34" spans="1:35" ht="15" customHeight="1" x14ac:dyDescent="0.2">
      <c r="A34" s="174" t="str">
        <f>B!A$145</f>
        <v>Local Economy</v>
      </c>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row>
    <row r="35" spans="1:35" ht="15" customHeight="1" x14ac:dyDescent="0.25">
      <c r="A35" s="173" t="str">
        <f>B!A$146</f>
        <v>Original Owner - Local</v>
      </c>
      <c r="B35" s="113">
        <f>B!B$146</f>
        <v>0.06</v>
      </c>
      <c r="C35" s="182">
        <f>B!C$146</f>
        <v>0</v>
      </c>
      <c r="D35" s="181" t="str">
        <f t="shared" ref="D35:D36" si="1">IF(C35=0,"",IRR(E35:AI35,B35))</f>
        <v/>
      </c>
      <c r="E35" s="40">
        <f>B!E$146</f>
        <v>0</v>
      </c>
      <c r="F35" s="40">
        <f>B!F$146</f>
        <v>0</v>
      </c>
      <c r="G35" s="40">
        <f>B!G$146</f>
        <v>0</v>
      </c>
      <c r="H35" s="40">
        <f>B!H$146</f>
        <v>0</v>
      </c>
      <c r="I35" s="40">
        <f>B!I$146</f>
        <v>0</v>
      </c>
      <c r="J35" s="40">
        <f>B!J$146</f>
        <v>0</v>
      </c>
      <c r="K35" s="40">
        <f>B!K$146</f>
        <v>0</v>
      </c>
      <c r="L35" s="40">
        <f>B!L$146</f>
        <v>0</v>
      </c>
      <c r="M35" s="40">
        <f>B!M$146</f>
        <v>0</v>
      </c>
      <c r="N35" s="40">
        <f>B!N$146</f>
        <v>0</v>
      </c>
      <c r="O35" s="40">
        <f>B!O$146</f>
        <v>0</v>
      </c>
      <c r="P35" s="40">
        <f>B!P$146</f>
        <v>0</v>
      </c>
      <c r="Q35" s="40">
        <f>B!Q$146</f>
        <v>0</v>
      </c>
      <c r="R35" s="40">
        <f>B!R$146</f>
        <v>0</v>
      </c>
      <c r="S35" s="40">
        <f>B!S$146</f>
        <v>0</v>
      </c>
      <c r="T35" s="40">
        <f>B!T$146</f>
        <v>0</v>
      </c>
      <c r="U35" s="40">
        <f>B!U$146</f>
        <v>0</v>
      </c>
      <c r="V35" s="40">
        <f>B!V$146</f>
        <v>0</v>
      </c>
      <c r="W35" s="40">
        <f>B!W$146</f>
        <v>0</v>
      </c>
      <c r="X35" s="40">
        <f>B!X$146</f>
        <v>0</v>
      </c>
      <c r="Y35" s="40">
        <f>B!Y$146</f>
        <v>0</v>
      </c>
      <c r="Z35" s="40">
        <f>B!Z$146</f>
        <v>0</v>
      </c>
      <c r="AA35" s="40">
        <f>B!AA$146</f>
        <v>0</v>
      </c>
      <c r="AB35" s="40">
        <f>B!AB$146</f>
        <v>0</v>
      </c>
      <c r="AC35" s="40">
        <f>B!AC$146</f>
        <v>0</v>
      </c>
      <c r="AD35" s="40">
        <f>B!AD$146</f>
        <v>0</v>
      </c>
      <c r="AE35" s="40">
        <f>B!AE$146</f>
        <v>0</v>
      </c>
      <c r="AF35" s="40">
        <f>B!AF$146</f>
        <v>0</v>
      </c>
      <c r="AG35" s="40">
        <f>B!AG$146</f>
        <v>0</v>
      </c>
      <c r="AH35" s="40">
        <f>B!AH$146</f>
        <v>0</v>
      </c>
      <c r="AI35" s="40">
        <f>B!AI$146</f>
        <v>0</v>
      </c>
    </row>
    <row r="36" spans="1:35" ht="15" customHeight="1" x14ac:dyDescent="0.25">
      <c r="A36" s="173" t="str">
        <f>B!A$147</f>
        <v>Local Owner after Flip</v>
      </c>
      <c r="B36" s="113">
        <f>B!B$147</f>
        <v>0.06</v>
      </c>
      <c r="C36" s="182">
        <f>B!C$147</f>
        <v>364418.73083531234</v>
      </c>
      <c r="D36" s="181">
        <f t="shared" si="1"/>
        <v>0.37249328552534489</v>
      </c>
      <c r="E36" s="40">
        <f>B!E$147</f>
        <v>0</v>
      </c>
      <c r="F36" s="40">
        <f>B!F$147</f>
        <v>0</v>
      </c>
      <c r="G36" s="40">
        <f>B!G$147</f>
        <v>0</v>
      </c>
      <c r="H36" s="40">
        <f>B!H$147</f>
        <v>0</v>
      </c>
      <c r="I36" s="40">
        <f>B!I$147</f>
        <v>0</v>
      </c>
      <c r="J36" s="40">
        <f>B!J$147</f>
        <v>0</v>
      </c>
      <c r="K36" s="40">
        <f>B!K$147</f>
        <v>0</v>
      </c>
      <c r="L36" s="40">
        <f>B!L$147</f>
        <v>0</v>
      </c>
      <c r="M36" s="40">
        <f>B!M$147</f>
        <v>0</v>
      </c>
      <c r="N36" s="40">
        <f>B!N$147</f>
        <v>0</v>
      </c>
      <c r="O36" s="40">
        <f>B!O$147</f>
        <v>-210000</v>
      </c>
      <c r="P36" s="40">
        <f>B!P$147</f>
        <v>81241.325998346409</v>
      </c>
      <c r="Q36" s="40">
        <f>B!Q$147</f>
        <v>79592.188501120516</v>
      </c>
      <c r="R36" s="40">
        <f>B!R$147</f>
        <v>77914.48917269081</v>
      </c>
      <c r="S36" s="40">
        <f>B!S$147</f>
        <v>76206.603521321478</v>
      </c>
      <c r="T36" s="40">
        <f>B!T$147</f>
        <v>74466.818179451642</v>
      </c>
      <c r="U36" s="40">
        <f>B!U$147</f>
        <v>72693.325724535796</v>
      </c>
      <c r="V36" s="40">
        <f>B!V$147</f>
        <v>70884.219192835255</v>
      </c>
      <c r="W36" s="40">
        <f>B!W$147</f>
        <v>69037.486267823871</v>
      </c>
      <c r="X36" s="40">
        <f>B!X$147</f>
        <v>67151.003123774164</v>
      </c>
      <c r="Y36" s="40">
        <f>B!Y$147</f>
        <v>14346.527903924529</v>
      </c>
      <c r="Z36" s="40">
        <f>B!Z$147</f>
        <v>142733.75303263211</v>
      </c>
      <c r="AA36" s="40">
        <f>B!AA$147</f>
        <v>144629.84528261572</v>
      </c>
      <c r="AB36" s="40">
        <f>B!AB$147</f>
        <v>146553.08760779581</v>
      </c>
      <c r="AC36" s="40">
        <f>B!AC$147</f>
        <v>148503.79983859742</v>
      </c>
      <c r="AD36" s="40">
        <f>B!AD$147</f>
        <v>150482.30473909265</v>
      </c>
      <c r="AE36" s="40">
        <f>B!AE$147</f>
        <v>0</v>
      </c>
      <c r="AF36" s="40">
        <f>B!AF$147</f>
        <v>0</v>
      </c>
      <c r="AG36" s="40">
        <f>B!AG$147</f>
        <v>0</v>
      </c>
      <c r="AH36" s="40">
        <f>B!AH$147</f>
        <v>0</v>
      </c>
      <c r="AI36" s="40">
        <f>B!AI$147</f>
        <v>0</v>
      </c>
    </row>
    <row r="37" spans="1:35" ht="15" customHeight="1" x14ac:dyDescent="0.2">
      <c r="A37" s="173" t="str">
        <f>B!A$148</f>
        <v>Offtakers Local Economy</v>
      </c>
      <c r="B37" s="113">
        <f>B!B$148</f>
        <v>0.06</v>
      </c>
      <c r="C37" s="182">
        <f>B!C$148</f>
        <v>154092.05343737407</v>
      </c>
      <c r="E37" s="40">
        <f>B!E$148</f>
        <v>0</v>
      </c>
      <c r="F37" s="40">
        <f>B!F$148</f>
        <v>10485.719999999999</v>
      </c>
      <c r="G37" s="40">
        <f>B!G$148</f>
        <v>10641.957228000001</v>
      </c>
      <c r="H37" s="40">
        <f>B!H$148</f>
        <v>10800.522390697202</v>
      </c>
      <c r="I37" s="40">
        <f>B!I$148</f>
        <v>10961.45017431859</v>
      </c>
      <c r="J37" s="40">
        <f>B!J$148</f>
        <v>11124.775781915938</v>
      </c>
      <c r="K37" s="40">
        <f>B!K$148</f>
        <v>11290.534941066486</v>
      </c>
      <c r="L37" s="40">
        <f>B!L$148</f>
        <v>11458.763911688377</v>
      </c>
      <c r="M37" s="40">
        <f>B!M$148</f>
        <v>11629.499493972527</v>
      </c>
      <c r="N37" s="40">
        <f>B!N$148</f>
        <v>11802.779036432723</v>
      </c>
      <c r="O37" s="40">
        <f>B!O$148</f>
        <v>11978.640444075569</v>
      </c>
      <c r="P37" s="40">
        <f>B!P$148</f>
        <v>12157.122186692293</v>
      </c>
      <c r="Q37" s="40">
        <f>B!Q$148</f>
        <v>12338.263307274008</v>
      </c>
      <c r="R37" s="40">
        <f>B!R$148</f>
        <v>12522.103430552394</v>
      </c>
      <c r="S37" s="40">
        <f>B!S$148</f>
        <v>12708.682771667622</v>
      </c>
      <c r="T37" s="40">
        <f>B!T$148</f>
        <v>12898.042144965473</v>
      </c>
      <c r="U37" s="40">
        <f>B!U$148</f>
        <v>13090.222972925452</v>
      </c>
      <c r="V37" s="40">
        <f>B!V$148</f>
        <v>13285.267295222046</v>
      </c>
      <c r="W37" s="40">
        <f>B!W$148</f>
        <v>13483.217777920854</v>
      </c>
      <c r="X37" s="40">
        <f>B!X$148</f>
        <v>13684.117722811872</v>
      </c>
      <c r="Y37" s="40">
        <f>B!Y$148</f>
        <v>13888.011076881767</v>
      </c>
      <c r="Z37" s="40">
        <f>B!Z$148</f>
        <v>14094.942441927307</v>
      </c>
      <c r="AA37" s="40">
        <f>B!AA$148</f>
        <v>14304.957084312024</v>
      </c>
      <c r="AB37" s="40">
        <f>B!AB$148</f>
        <v>14518.100944868276</v>
      </c>
      <c r="AC37" s="40">
        <f>B!AC$148</f>
        <v>14734.420648946807</v>
      </c>
      <c r="AD37" s="40">
        <f>B!AD$148</f>
        <v>14953.963516616113</v>
      </c>
      <c r="AE37" s="40">
        <f>B!AE$148</f>
        <v>0</v>
      </c>
      <c r="AF37" s="40">
        <f>B!AF$148</f>
        <v>0</v>
      </c>
      <c r="AG37" s="40">
        <f>B!AG$148</f>
        <v>0</v>
      </c>
      <c r="AH37" s="40">
        <f>B!AH$148</f>
        <v>0</v>
      </c>
      <c r="AI37" s="40">
        <f>B!AI$148</f>
        <v>0</v>
      </c>
    </row>
    <row r="38" spans="1:35" ht="15" customHeight="1" x14ac:dyDescent="0.2">
      <c r="A38" s="173" t="str">
        <f>B!A$149</f>
        <v>Lender Local Economy</v>
      </c>
      <c r="B38" s="113">
        <f>B!B$149</f>
        <v>0.06</v>
      </c>
      <c r="C38" s="182">
        <f>B!C$149</f>
        <v>50000.528730854923</v>
      </c>
      <c r="E38" s="40">
        <f>B!E$149</f>
        <v>0</v>
      </c>
      <c r="F38" s="40">
        <f>B!F$149</f>
        <v>0</v>
      </c>
      <c r="G38" s="40">
        <f>B!G$149</f>
        <v>0</v>
      </c>
      <c r="H38" s="40">
        <f>B!H$149</f>
        <v>0</v>
      </c>
      <c r="I38" s="40">
        <f>B!I$149</f>
        <v>0</v>
      </c>
      <c r="J38" s="40">
        <f>B!J$149</f>
        <v>0</v>
      </c>
      <c r="K38" s="40">
        <f>B!K$149</f>
        <v>0</v>
      </c>
      <c r="L38" s="40">
        <f>B!L$149</f>
        <v>0</v>
      </c>
      <c r="M38" s="40">
        <f>B!M$149</f>
        <v>0</v>
      </c>
      <c r="N38" s="40">
        <f>B!N$149</f>
        <v>0</v>
      </c>
      <c r="O38" s="40">
        <f>B!O$149</f>
        <v>0</v>
      </c>
      <c r="P38" s="40">
        <f>B!P$149</f>
        <v>18900</v>
      </c>
      <c r="Q38" s="40">
        <f>B!Q$149</f>
        <v>17466.095589634744</v>
      </c>
      <c r="R38" s="40">
        <f>B!R$149</f>
        <v>15946.156914647574</v>
      </c>
      <c r="S38" s="40">
        <f>B!S$149</f>
        <v>14335.021919161174</v>
      </c>
      <c r="T38" s="40">
        <f>B!T$149</f>
        <v>12627.21882394559</v>
      </c>
      <c r="U38" s="40">
        <f>B!U$149</f>
        <v>10816.947543017071</v>
      </c>
      <c r="V38" s="40">
        <f>B!V$149</f>
        <v>8898.0599852328414</v>
      </c>
      <c r="W38" s="40">
        <f>B!W$149</f>
        <v>6864.0391739815568</v>
      </c>
      <c r="X38" s="40">
        <f>B!X$149</f>
        <v>4707.9771140551957</v>
      </c>
      <c r="Y38" s="40">
        <f>B!Y$149</f>
        <v>2422.5513305332533</v>
      </c>
      <c r="Z38" s="40">
        <f>B!Z$149</f>
        <v>0</v>
      </c>
      <c r="AA38" s="40">
        <f>B!AA$149</f>
        <v>0</v>
      </c>
      <c r="AB38" s="40">
        <f>B!AB$149</f>
        <v>0</v>
      </c>
      <c r="AC38" s="40">
        <f>B!AC$149</f>
        <v>0</v>
      </c>
      <c r="AD38" s="40">
        <f>B!AD$149</f>
        <v>0</v>
      </c>
      <c r="AE38" s="40">
        <f>B!AE$149</f>
        <v>0</v>
      </c>
      <c r="AF38" s="40">
        <f>B!AF$149</f>
        <v>0</v>
      </c>
      <c r="AG38" s="40">
        <f>B!AG$149</f>
        <v>0</v>
      </c>
      <c r="AH38" s="40">
        <f>B!AH$149</f>
        <v>0</v>
      </c>
      <c r="AI38" s="40">
        <f>B!AI$149</f>
        <v>0</v>
      </c>
    </row>
    <row r="39" spans="1:35" ht="15" customHeight="1" x14ac:dyDescent="0.2">
      <c r="A39" s="173" t="str">
        <f>B!A$150</f>
        <v>Community PILOT / Lease</v>
      </c>
      <c r="B39" s="113">
        <f>B!B$150</f>
        <v>0.06</v>
      </c>
      <c r="C39" s="182">
        <f>B!C$150</f>
        <v>319583.90395671001</v>
      </c>
      <c r="E39" s="40">
        <f>B!E$150</f>
        <v>0</v>
      </c>
      <c r="F39" s="40">
        <f>B!F$150</f>
        <v>25000</v>
      </c>
      <c r="G39" s="40">
        <f>B!G$150</f>
        <v>25000</v>
      </c>
      <c r="H39" s="40">
        <f>B!H$150</f>
        <v>25000</v>
      </c>
      <c r="I39" s="40">
        <f>B!I$150</f>
        <v>25000</v>
      </c>
      <c r="J39" s="40">
        <f>B!J$150</f>
        <v>25000</v>
      </c>
      <c r="K39" s="40">
        <f>B!K$150</f>
        <v>25000</v>
      </c>
      <c r="L39" s="40">
        <f>B!L$150</f>
        <v>25000</v>
      </c>
      <c r="M39" s="40">
        <f>B!M$150</f>
        <v>25000</v>
      </c>
      <c r="N39" s="40">
        <f>B!N$150</f>
        <v>25000</v>
      </c>
      <c r="O39" s="40">
        <f>B!O$150</f>
        <v>25000</v>
      </c>
      <c r="P39" s="40">
        <f>B!P$150</f>
        <v>25000</v>
      </c>
      <c r="Q39" s="40">
        <f>B!Q$150</f>
        <v>25000</v>
      </c>
      <c r="R39" s="40">
        <f>B!R$150</f>
        <v>25000</v>
      </c>
      <c r="S39" s="40">
        <f>B!S$150</f>
        <v>25000</v>
      </c>
      <c r="T39" s="40">
        <f>B!T$150</f>
        <v>25000</v>
      </c>
      <c r="U39" s="40">
        <f>B!U$150</f>
        <v>25000</v>
      </c>
      <c r="V39" s="40">
        <f>B!V$150</f>
        <v>25000</v>
      </c>
      <c r="W39" s="40">
        <f>B!W$150</f>
        <v>25000</v>
      </c>
      <c r="X39" s="40">
        <f>B!X$150</f>
        <v>25000</v>
      </c>
      <c r="Y39" s="40">
        <f>B!Y$150</f>
        <v>25000</v>
      </c>
      <c r="Z39" s="40">
        <f>B!Z$150</f>
        <v>25000</v>
      </c>
      <c r="AA39" s="40">
        <f>B!AA$150</f>
        <v>25000</v>
      </c>
      <c r="AB39" s="40">
        <f>B!AB$150</f>
        <v>25000</v>
      </c>
      <c r="AC39" s="40">
        <f>B!AC$150</f>
        <v>25000</v>
      </c>
      <c r="AD39" s="40">
        <f>B!AD$150</f>
        <v>25000</v>
      </c>
      <c r="AE39" s="40">
        <f>B!AE$150</f>
        <v>0</v>
      </c>
      <c r="AF39" s="40">
        <f>B!AF$150</f>
        <v>0</v>
      </c>
      <c r="AG39" s="40">
        <f>B!AG$150</f>
        <v>0</v>
      </c>
      <c r="AH39" s="40">
        <f>B!AH$150</f>
        <v>0</v>
      </c>
      <c r="AI39" s="40">
        <f>B!AI$150</f>
        <v>0</v>
      </c>
    </row>
    <row r="40" spans="1:35" ht="15" customHeight="1" x14ac:dyDescent="0.2">
      <c r="A40" s="2"/>
      <c r="B40" s="2"/>
      <c r="C40" s="9"/>
      <c r="E40" s="2"/>
      <c r="F40" s="2"/>
      <c r="G40" s="2"/>
      <c r="H40" s="2"/>
      <c r="I40" s="2"/>
      <c r="J40" s="2"/>
      <c r="K40" s="2"/>
      <c r="L40" s="2"/>
      <c r="M40" s="2"/>
      <c r="N40" s="2"/>
      <c r="O40" s="2"/>
      <c r="P40" s="2"/>
      <c r="Q40" s="2"/>
      <c r="R40" s="2"/>
      <c r="S40" s="2"/>
      <c r="T40" s="2"/>
      <c r="U40" s="26"/>
      <c r="V40" s="2"/>
      <c r="W40" s="2"/>
      <c r="X40" s="2"/>
      <c r="Y40" s="2"/>
      <c r="Z40" s="2"/>
      <c r="AA40" s="2"/>
      <c r="AB40" s="2"/>
      <c r="AC40" s="2"/>
      <c r="AD40" s="2"/>
      <c r="AE40" s="2"/>
      <c r="AF40" s="2"/>
      <c r="AG40" s="2"/>
      <c r="AH40" s="2"/>
      <c r="AI40" s="2"/>
    </row>
    <row r="41" spans="1:35" ht="15" customHeight="1" x14ac:dyDescent="0.25">
      <c r="A41" s="186" t="str">
        <f>B!A$152</f>
        <v>Total</v>
      </c>
      <c r="B41" s="176"/>
      <c r="C41" s="182">
        <f>B!C$152</f>
        <v>1295617.0156213196</v>
      </c>
      <c r="E41" s="40">
        <f>B!E$152</f>
        <v>-621600</v>
      </c>
      <c r="F41" s="40">
        <f>B!F$152</f>
        <v>194971.14319531407</v>
      </c>
      <c r="G41" s="40">
        <f>B!G$152</f>
        <v>234650.28766711007</v>
      </c>
      <c r="H41" s="40">
        <f>B!H$152</f>
        <v>178855.7886017703</v>
      </c>
      <c r="I41" s="40">
        <f>B!I$152</f>
        <v>142362.13696563925</v>
      </c>
      <c r="J41" s="40">
        <f>B!J$152</f>
        <v>134970.54198144714</v>
      </c>
      <c r="K41" s="40">
        <f>B!K$152</f>
        <v>105093.77302556694</v>
      </c>
      <c r="L41" s="40">
        <f>B!L$152</f>
        <v>74807.925321467061</v>
      </c>
      <c r="M41" s="40">
        <f>B!M$152</f>
        <v>66187.701177191455</v>
      </c>
      <c r="N41" s="40">
        <f>B!N$152</f>
        <v>57107.542499569739</v>
      </c>
      <c r="O41" s="40">
        <f>B!O$152</f>
        <v>311663.71830182307</v>
      </c>
      <c r="P41" s="40">
        <f>B!P$152</f>
        <v>145403.19630950023</v>
      </c>
      <c r="Q41" s="40">
        <f>B!Q$152</f>
        <v>142622.05626954528</v>
      </c>
      <c r="R41" s="40">
        <f>B!R$152</f>
        <v>139730.81847159239</v>
      </c>
      <c r="S41" s="40">
        <f>B!S$152</f>
        <v>136722.76339326199</v>
      </c>
      <c r="T41" s="40">
        <f>B!T$152</f>
        <v>133590.77391167299</v>
      </c>
      <c r="U41" s="40">
        <f>B!U$152</f>
        <v>130327.31155576195</v>
      </c>
      <c r="V41" s="40">
        <f>B!V$152</f>
        <v>126924.39133677151</v>
      </c>
      <c r="W41" s="40">
        <f>B!W$152</f>
        <v>123373.55507167352</v>
      </c>
      <c r="X41" s="40">
        <f>B!X$152</f>
        <v>119665.84310918248</v>
      </c>
      <c r="Y41" s="40">
        <f>B!Y$152</f>
        <v>64915.764362594069</v>
      </c>
      <c r="Z41" s="40">
        <f>B!Z$152</f>
        <v>191225.32376917763</v>
      </c>
      <c r="AA41" s="40">
        <f>B!AA$152</f>
        <v>193471.44042313573</v>
      </c>
      <c r="AB41" s="40">
        <f>B!AB$152</f>
        <v>195749.92251590962</v>
      </c>
      <c r="AC41" s="40">
        <f>B!AC$152</f>
        <v>198061.16758684209</v>
      </c>
      <c r="AD41" s="40">
        <f>B!AD$152</f>
        <v>200405.57726678619</v>
      </c>
      <c r="AE41" s="40">
        <f>B!AE$152</f>
        <v>0</v>
      </c>
      <c r="AF41" s="40">
        <f>B!AF$152</f>
        <v>0</v>
      </c>
      <c r="AG41" s="40">
        <f>B!AG$152</f>
        <v>0</v>
      </c>
      <c r="AH41" s="40">
        <f>B!AH$152</f>
        <v>0</v>
      </c>
      <c r="AI41" s="40">
        <f>B!AI$152</f>
        <v>0</v>
      </c>
    </row>
    <row r="42" spans="1:35" ht="15" customHeight="1" x14ac:dyDescent="0.2">
      <c r="A42" s="185" t="str">
        <f>B!A$153</f>
        <v>Local Economy</v>
      </c>
      <c r="B42" s="175">
        <f>B!B$153</f>
        <v>0.06</v>
      </c>
      <c r="C42" s="182">
        <f>B!C$153</f>
        <v>888095.21696025121</v>
      </c>
      <c r="E42" s="40">
        <f>B!E$153</f>
        <v>0</v>
      </c>
      <c r="F42" s="40">
        <f>B!F$153</f>
        <v>35485.72</v>
      </c>
      <c r="G42" s="40">
        <f>B!G$153</f>
        <v>35641.957227999999</v>
      </c>
      <c r="H42" s="40">
        <f>B!H$153</f>
        <v>35800.522390697202</v>
      </c>
      <c r="I42" s="40">
        <f>B!I$153</f>
        <v>35961.45017431859</v>
      </c>
      <c r="J42" s="40">
        <f>B!J$153</f>
        <v>36124.775781915938</v>
      </c>
      <c r="K42" s="40">
        <f>B!K$153</f>
        <v>36290.534941066486</v>
      </c>
      <c r="L42" s="40">
        <f>B!L$153</f>
        <v>36458.76391168838</v>
      </c>
      <c r="M42" s="40">
        <f>B!M$153</f>
        <v>36629.499493972529</v>
      </c>
      <c r="N42" s="40">
        <f>B!N$153</f>
        <v>36802.779036432723</v>
      </c>
      <c r="O42" s="40">
        <f>B!O$153</f>
        <v>-173021.35955592443</v>
      </c>
      <c r="P42" s="40">
        <f>B!P$153</f>
        <v>137298.44818503869</v>
      </c>
      <c r="Q42" s="40">
        <f>B!Q$153</f>
        <v>134396.54739802927</v>
      </c>
      <c r="R42" s="40">
        <f>B!R$153</f>
        <v>131382.74951789077</v>
      </c>
      <c r="S42" s="40">
        <f>B!S$153</f>
        <v>128250.30821215027</v>
      </c>
      <c r="T42" s="40">
        <f>B!T$153</f>
        <v>124992.0791483627</v>
      </c>
      <c r="U42" s="40">
        <f>B!U$153</f>
        <v>121600.49624047831</v>
      </c>
      <c r="V42" s="40">
        <f>B!V$153</f>
        <v>118067.54647329015</v>
      </c>
      <c r="W42" s="40">
        <f>B!W$153</f>
        <v>114384.74321972628</v>
      </c>
      <c r="X42" s="40">
        <f>B!X$153</f>
        <v>110543.09796064123</v>
      </c>
      <c r="Y42" s="40">
        <f>B!Y$153</f>
        <v>55657.090311339547</v>
      </c>
      <c r="Z42" s="40">
        <f>B!Z$153</f>
        <v>181828.69547455941</v>
      </c>
      <c r="AA42" s="40">
        <f>B!AA$153</f>
        <v>183934.80236692773</v>
      </c>
      <c r="AB42" s="40">
        <f>B!AB$153</f>
        <v>186071.1885526641</v>
      </c>
      <c r="AC42" s="40">
        <f>B!AC$153</f>
        <v>188238.22048754423</v>
      </c>
      <c r="AD42" s="40">
        <f>B!AD$153</f>
        <v>190436.26825570877</v>
      </c>
      <c r="AE42" s="40">
        <f>B!AE$153</f>
        <v>0</v>
      </c>
      <c r="AF42" s="40">
        <f>B!AF$153</f>
        <v>0</v>
      </c>
      <c r="AG42" s="40">
        <f>B!AG$153</f>
        <v>0</v>
      </c>
      <c r="AH42" s="40">
        <f>B!AH$153</f>
        <v>0</v>
      </c>
      <c r="AI42" s="40">
        <f>B!AI$153</f>
        <v>0</v>
      </c>
    </row>
    <row r="43" spans="1:35" ht="15" customHeight="1" x14ac:dyDescent="0.2">
      <c r="A43" s="185" t="str">
        <f>B!A$154</f>
        <v>Outside Economy</v>
      </c>
      <c r="B43" s="175">
        <f>B!B$154</f>
        <v>0.06</v>
      </c>
      <c r="C43" s="182">
        <f>B!C$154</f>
        <v>407521.79866106843</v>
      </c>
      <c r="E43" s="40">
        <f>B!E$154</f>
        <v>-621600</v>
      </c>
      <c r="F43" s="40">
        <f>B!F$154</f>
        <v>159485.42319531407</v>
      </c>
      <c r="G43" s="40">
        <f>B!G$154</f>
        <v>199008.33043911005</v>
      </c>
      <c r="H43" s="40">
        <f>B!H$154</f>
        <v>143055.26621107309</v>
      </c>
      <c r="I43" s="40">
        <f>B!I$154</f>
        <v>106400.68679132065</v>
      </c>
      <c r="J43" s="40">
        <f>B!J$154</f>
        <v>98845.766199531208</v>
      </c>
      <c r="K43" s="40">
        <f>B!K$154</f>
        <v>68803.238084500452</v>
      </c>
      <c r="L43" s="40">
        <f>B!L$154</f>
        <v>38349.161409778681</v>
      </c>
      <c r="M43" s="40">
        <f>B!M$154</f>
        <v>29558.201683218929</v>
      </c>
      <c r="N43" s="40">
        <f>B!N$154</f>
        <v>20304.763463137017</v>
      </c>
      <c r="O43" s="40">
        <f>B!O$154</f>
        <v>484685.0778577475</v>
      </c>
      <c r="P43" s="40">
        <f>B!P$154</f>
        <v>8104.7481244615301</v>
      </c>
      <c r="Q43" s="40">
        <f>B!Q$154</f>
        <v>8225.5088715160073</v>
      </c>
      <c r="R43" s="40">
        <f>B!R$154</f>
        <v>8348.0689537015969</v>
      </c>
      <c r="S43" s="40">
        <f>B!S$154</f>
        <v>8472.4551811117472</v>
      </c>
      <c r="T43" s="40">
        <f>B!T$154</f>
        <v>8598.6947633103173</v>
      </c>
      <c r="U43" s="40">
        <f>B!U$154</f>
        <v>8726.8153152836367</v>
      </c>
      <c r="V43" s="40">
        <f>B!V$154</f>
        <v>8856.8448634813649</v>
      </c>
      <c r="W43" s="40">
        <f>B!W$154</f>
        <v>8988.8118519472373</v>
      </c>
      <c r="X43" s="40">
        <f>B!X$154</f>
        <v>9122.7451485412494</v>
      </c>
      <c r="Y43" s="40">
        <f>B!Y$154</f>
        <v>9258.674051254513</v>
      </c>
      <c r="Z43" s="40">
        <f>B!Z$154</f>
        <v>9396.6282946182055</v>
      </c>
      <c r="AA43" s="40">
        <f>B!AA$154</f>
        <v>9536.6380562080158</v>
      </c>
      <c r="AB43" s="40">
        <f>B!AB$154</f>
        <v>9678.7339632455169</v>
      </c>
      <c r="AC43" s="40">
        <f>B!AC$154</f>
        <v>9822.9470992978731</v>
      </c>
      <c r="AD43" s="40">
        <f>B!AD$154</f>
        <v>9969.3090110774101</v>
      </c>
      <c r="AE43" s="40">
        <f>B!AE$154</f>
        <v>0</v>
      </c>
      <c r="AF43" s="40">
        <f>B!AF$154</f>
        <v>0</v>
      </c>
      <c r="AG43" s="40">
        <f>B!AG$154</f>
        <v>0</v>
      </c>
      <c r="AH43" s="40">
        <f>B!AH$154</f>
        <v>0</v>
      </c>
      <c r="AI43" s="40">
        <f>B!AI$154</f>
        <v>0</v>
      </c>
    </row>
    <row r="44" spans="1:35" ht="15" customHeight="1" x14ac:dyDescent="0.2">
      <c r="A44" s="185" t="str">
        <f>B!A$155</f>
        <v>Cumulative  - Local</v>
      </c>
      <c r="B44" s="175">
        <f>B!B$155</f>
        <v>0</v>
      </c>
      <c r="C44" s="182">
        <f>B!C$155</f>
        <v>2259256.9252065192</v>
      </c>
      <c r="E44" s="40">
        <f>B!E$155</f>
        <v>0</v>
      </c>
      <c r="F44" s="40">
        <f>B!F$155</f>
        <v>35485.72</v>
      </c>
      <c r="G44" s="40">
        <f>B!G$155</f>
        <v>71127.677228</v>
      </c>
      <c r="H44" s="40">
        <f>B!H$155</f>
        <v>106928.1996186972</v>
      </c>
      <c r="I44" s="40">
        <f>B!I$155</f>
        <v>142889.64979301579</v>
      </c>
      <c r="J44" s="40">
        <f>B!J$155</f>
        <v>179014.42557493172</v>
      </c>
      <c r="K44" s="40">
        <f>B!K$155</f>
        <v>215304.96051599822</v>
      </c>
      <c r="L44" s="40">
        <f>B!L$155</f>
        <v>251763.7244276866</v>
      </c>
      <c r="M44" s="40">
        <f>B!M$155</f>
        <v>288393.22392165911</v>
      </c>
      <c r="N44" s="40">
        <f>B!N$155</f>
        <v>325196.00295809185</v>
      </c>
      <c r="O44" s="40">
        <f>B!O$155</f>
        <v>152174.64340216742</v>
      </c>
      <c r="P44" s="40">
        <f>B!P$155</f>
        <v>289473.09158720612</v>
      </c>
      <c r="Q44" s="40">
        <f>B!Q$155</f>
        <v>423869.63898523536</v>
      </c>
      <c r="R44" s="40">
        <f>B!R$155</f>
        <v>555252.3885031261</v>
      </c>
      <c r="S44" s="40">
        <f>B!S$155</f>
        <v>683502.69671527634</v>
      </c>
      <c r="T44" s="40">
        <f>B!T$155</f>
        <v>808494.77586363908</v>
      </c>
      <c r="U44" s="40">
        <f>B!U$155</f>
        <v>930095.27210411744</v>
      </c>
      <c r="V44" s="40">
        <f>B!V$155</f>
        <v>1048162.8185774076</v>
      </c>
      <c r="W44" s="40">
        <f>B!W$155</f>
        <v>1162547.5617971339</v>
      </c>
      <c r="X44" s="40">
        <f>B!X$155</f>
        <v>1273090.659757775</v>
      </c>
      <c r="Y44" s="40">
        <f>B!Y$155</f>
        <v>1328747.7500691146</v>
      </c>
      <c r="Z44" s="40">
        <f>B!Z$155</f>
        <v>1510576.4455436741</v>
      </c>
      <c r="AA44" s="40">
        <f>B!AA$155</f>
        <v>1694511.2479106018</v>
      </c>
      <c r="AB44" s="40">
        <f>B!AB$155</f>
        <v>1880582.4364632659</v>
      </c>
      <c r="AC44" s="40">
        <f>B!AC$155</f>
        <v>2068820.6569508102</v>
      </c>
      <c r="AD44" s="40">
        <f>B!AD$155</f>
        <v>2259256.9252065192</v>
      </c>
      <c r="AE44" s="40">
        <f>B!AE$155</f>
        <v>2259256.9252065192</v>
      </c>
      <c r="AF44" s="40">
        <f>B!AF$155</f>
        <v>2259256.9252065192</v>
      </c>
      <c r="AG44" s="40">
        <f>B!AG$155</f>
        <v>2259256.9252065192</v>
      </c>
      <c r="AH44" s="40">
        <f>B!AH$155</f>
        <v>2259256.9252065192</v>
      </c>
      <c r="AI44" s="40">
        <f>B!AI$155</f>
        <v>2259256.9252065192</v>
      </c>
    </row>
    <row r="45" spans="1:35" ht="15" x14ac:dyDescent="0.2">
      <c r="A45" s="185" t="str">
        <f>B!A$156</f>
        <v>Cumulative  - Outside</v>
      </c>
      <c r="B45" s="175">
        <f>B!B$156</f>
        <v>0</v>
      </c>
      <c r="C45" s="182">
        <f>B!C$156</f>
        <v>862003.53888378793</v>
      </c>
      <c r="E45" s="40">
        <f>B!E$156</f>
        <v>-621600</v>
      </c>
      <c r="F45" s="40">
        <f>B!F$156</f>
        <v>-462114.57680468593</v>
      </c>
      <c r="G45" s="40">
        <f>B!G$156</f>
        <v>-263106.24636557588</v>
      </c>
      <c r="H45" s="40">
        <f>B!H$156</f>
        <v>-120050.98015450279</v>
      </c>
      <c r="I45" s="40">
        <f>B!I$156</f>
        <v>-13650.293363182136</v>
      </c>
      <c r="J45" s="40">
        <f>B!J$156</f>
        <v>85195.472836349072</v>
      </c>
      <c r="K45" s="40">
        <f>B!K$156</f>
        <v>153998.71092084952</v>
      </c>
      <c r="L45" s="40">
        <f>B!L$156</f>
        <v>192347.87233062822</v>
      </c>
      <c r="M45" s="40">
        <f>B!M$156</f>
        <v>221906.07401384716</v>
      </c>
      <c r="N45" s="40">
        <f>B!N$156</f>
        <v>242210.83747698419</v>
      </c>
      <c r="O45" s="40">
        <f>B!O$156</f>
        <v>726895.91533473169</v>
      </c>
      <c r="P45" s="40">
        <f>B!P$156</f>
        <v>735000.66345919319</v>
      </c>
      <c r="Q45" s="40">
        <f>B!Q$156</f>
        <v>743226.17233070917</v>
      </c>
      <c r="R45" s="40">
        <f>B!R$156</f>
        <v>751574.24128441082</v>
      </c>
      <c r="S45" s="40">
        <f>B!S$156</f>
        <v>760046.69646552252</v>
      </c>
      <c r="T45" s="40">
        <f>B!T$156</f>
        <v>768645.39122883289</v>
      </c>
      <c r="U45" s="40">
        <f>B!U$156</f>
        <v>777372.20654411649</v>
      </c>
      <c r="V45" s="40">
        <f>B!V$156</f>
        <v>786229.05140759784</v>
      </c>
      <c r="W45" s="40">
        <f>B!W$156</f>
        <v>795217.86325954506</v>
      </c>
      <c r="X45" s="40">
        <f>B!X$156</f>
        <v>804340.60840808635</v>
      </c>
      <c r="Y45" s="40">
        <f>B!Y$156</f>
        <v>813599.28245934087</v>
      </c>
      <c r="Z45" s="40">
        <f>B!Z$156</f>
        <v>822995.91075395909</v>
      </c>
      <c r="AA45" s="40">
        <f>B!AA$156</f>
        <v>832532.54881016712</v>
      </c>
      <c r="AB45" s="40">
        <f>B!AB$156</f>
        <v>842211.28277341265</v>
      </c>
      <c r="AC45" s="40">
        <f>B!AC$156</f>
        <v>852034.22987271054</v>
      </c>
      <c r="AD45" s="40">
        <f>B!AD$156</f>
        <v>862003.53888378793</v>
      </c>
      <c r="AE45" s="40">
        <f>B!AE$156</f>
        <v>862003.53888378793</v>
      </c>
      <c r="AF45" s="40">
        <f>B!AF$156</f>
        <v>862003.53888378793</v>
      </c>
      <c r="AG45" s="40">
        <f>B!AG$156</f>
        <v>862003.53888378793</v>
      </c>
      <c r="AH45" s="40">
        <f>B!AH$156</f>
        <v>862003.53888378793</v>
      </c>
      <c r="AI45" s="40">
        <f>B!AI$156</f>
        <v>862003.53888378793</v>
      </c>
    </row>
    <row r="46" spans="1:35" ht="15" x14ac:dyDescent="0.2">
      <c r="A46" s="185" t="str">
        <f>B!A$157</f>
        <v>Local Investment Risk (Debt + Equity)</v>
      </c>
      <c r="B46" s="175">
        <f>B!B$157</f>
        <v>0</v>
      </c>
      <c r="C46" s="182">
        <f>B!C$157</f>
        <v>525000</v>
      </c>
      <c r="E46" s="40">
        <f>B!E$157</f>
        <v>0</v>
      </c>
      <c r="F46" s="40">
        <f>B!F$157</f>
        <v>0</v>
      </c>
      <c r="G46" s="40">
        <f>B!G$157</f>
        <v>0</v>
      </c>
      <c r="H46" s="40">
        <f>B!H$157</f>
        <v>0</v>
      </c>
      <c r="I46" s="40">
        <f>B!I$157</f>
        <v>0</v>
      </c>
      <c r="J46" s="40">
        <f>B!J$157</f>
        <v>0</v>
      </c>
      <c r="K46" s="40">
        <f>B!K$157</f>
        <v>0</v>
      </c>
      <c r="L46" s="40">
        <f>B!L$157</f>
        <v>0</v>
      </c>
      <c r="M46" s="40">
        <f>B!M$157</f>
        <v>0</v>
      </c>
      <c r="N46" s="40">
        <f>B!N$157</f>
        <v>0</v>
      </c>
      <c r="O46" s="40">
        <f>B!O$157</f>
        <v>0</v>
      </c>
      <c r="P46" s="40">
        <f>B!P$157</f>
        <v>0</v>
      </c>
      <c r="Q46" s="40">
        <f>B!Q$157</f>
        <v>0</v>
      </c>
      <c r="R46" s="40">
        <f>B!R$157</f>
        <v>0</v>
      </c>
      <c r="S46" s="40">
        <f>B!S$157</f>
        <v>0</v>
      </c>
      <c r="T46" s="40">
        <f>B!T$157</f>
        <v>0</v>
      </c>
      <c r="U46" s="40">
        <f>B!U$157</f>
        <v>0</v>
      </c>
      <c r="V46" s="40">
        <f>B!V$157</f>
        <v>0</v>
      </c>
      <c r="W46" s="40">
        <f>B!W$157</f>
        <v>0</v>
      </c>
      <c r="X46" s="40">
        <f>B!X$157</f>
        <v>0</v>
      </c>
      <c r="Y46" s="40">
        <f>B!Y$157</f>
        <v>0</v>
      </c>
      <c r="Z46" s="40">
        <f>B!Z$157</f>
        <v>0</v>
      </c>
      <c r="AA46" s="40">
        <f>B!AA$157</f>
        <v>0</v>
      </c>
      <c r="AB46" s="40">
        <f>B!AB$157</f>
        <v>0</v>
      </c>
      <c r="AC46" s="40">
        <f>B!AC$157</f>
        <v>0</v>
      </c>
      <c r="AD46" s="40">
        <f>B!AD$157</f>
        <v>0</v>
      </c>
      <c r="AE46" s="40">
        <f>B!AE$157</f>
        <v>0</v>
      </c>
      <c r="AF46" s="40">
        <f>B!AF$157</f>
        <v>0</v>
      </c>
      <c r="AG46" s="40">
        <f>B!AG$157</f>
        <v>0</v>
      </c>
      <c r="AH46" s="40">
        <f>B!AH$157</f>
        <v>0</v>
      </c>
      <c r="AI46" s="40">
        <f>B!AI$157</f>
        <v>0</v>
      </c>
    </row>
    <row r="47" spans="1:35" ht="15" x14ac:dyDescent="0.2">
      <c r="A47" s="185" t="str">
        <f>B!A$158</f>
        <v>Outside Investment Risk (Debt + Equity)</v>
      </c>
      <c r="B47" s="175">
        <f>B!B$158</f>
        <v>0</v>
      </c>
      <c r="C47" s="182">
        <f>B!C$158</f>
        <v>1029000</v>
      </c>
      <c r="E47" s="40">
        <f>B!E$158</f>
        <v>0</v>
      </c>
      <c r="F47" s="40">
        <f>B!F$158</f>
        <v>0</v>
      </c>
      <c r="G47" s="40">
        <f>B!G$158</f>
        <v>0</v>
      </c>
      <c r="H47" s="40">
        <f>B!H$158</f>
        <v>0</v>
      </c>
      <c r="I47" s="40">
        <f>B!I$158</f>
        <v>0</v>
      </c>
      <c r="J47" s="40">
        <f>B!J$158</f>
        <v>0</v>
      </c>
      <c r="K47" s="40">
        <f>B!K$158</f>
        <v>0</v>
      </c>
      <c r="L47" s="40">
        <f>B!L$158</f>
        <v>0</v>
      </c>
      <c r="M47" s="40">
        <f>B!M$158</f>
        <v>0</v>
      </c>
      <c r="N47" s="40">
        <f>B!N$158</f>
        <v>0</v>
      </c>
      <c r="O47" s="40">
        <f>B!O$158</f>
        <v>0</v>
      </c>
      <c r="P47" s="40">
        <f>B!P$158</f>
        <v>0</v>
      </c>
      <c r="Q47" s="40">
        <f>B!Q$158</f>
        <v>0</v>
      </c>
      <c r="R47" s="40">
        <f>B!R$158</f>
        <v>0</v>
      </c>
      <c r="S47" s="40">
        <f>B!S$158</f>
        <v>0</v>
      </c>
      <c r="T47" s="40">
        <f>B!T$158</f>
        <v>0</v>
      </c>
      <c r="U47" s="40">
        <f>B!U$158</f>
        <v>0</v>
      </c>
      <c r="V47" s="40">
        <f>B!V$158</f>
        <v>0</v>
      </c>
      <c r="W47" s="40">
        <f>B!W$158</f>
        <v>0</v>
      </c>
      <c r="X47" s="40">
        <f>B!X$158</f>
        <v>0</v>
      </c>
      <c r="Y47" s="40">
        <f>B!Y$158</f>
        <v>0</v>
      </c>
      <c r="Z47" s="40">
        <f>B!Z$158</f>
        <v>0</v>
      </c>
      <c r="AA47" s="40">
        <f>B!AA$158</f>
        <v>0</v>
      </c>
      <c r="AB47" s="40">
        <f>B!AB$158</f>
        <v>0</v>
      </c>
      <c r="AC47" s="40">
        <f>B!AC$158</f>
        <v>0</v>
      </c>
      <c r="AD47" s="40">
        <f>B!AD$158</f>
        <v>0</v>
      </c>
      <c r="AE47" s="40">
        <f>B!AE$158</f>
        <v>0</v>
      </c>
      <c r="AF47" s="40">
        <f>B!AF$158</f>
        <v>0</v>
      </c>
      <c r="AG47" s="40">
        <f>B!AG$158</f>
        <v>0</v>
      </c>
      <c r="AH47" s="40">
        <f>B!AH$158</f>
        <v>0</v>
      </c>
      <c r="AI47" s="40">
        <f>B!AI$158</f>
        <v>0</v>
      </c>
    </row>
    <row r="49" spans="1:35" ht="18.75" thickBot="1" x14ac:dyDescent="0.3">
      <c r="A49" s="168" t="s">
        <v>163</v>
      </c>
    </row>
    <row r="50" spans="1:35" ht="23.25" x14ac:dyDescent="0.2">
      <c r="A50" s="164" t="str">
        <f>'C'!B$8</f>
        <v>Community Owned (taxable)</v>
      </c>
    </row>
    <row r="51" spans="1:35" ht="15" customHeight="1" x14ac:dyDescent="0.25">
      <c r="A51" s="172" t="str">
        <f>'C'!A$141</f>
        <v>Outside Economy</v>
      </c>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row>
    <row r="52" spans="1:35" ht="15" customHeight="1" x14ac:dyDescent="0.25">
      <c r="A52" s="173" t="str">
        <f>'C'!A$142</f>
        <v>Original Owner - Outside</v>
      </c>
      <c r="B52" s="113">
        <f>'C'!B$142</f>
        <v>0.06</v>
      </c>
      <c r="C52" s="182">
        <f>'C'!C$142</f>
        <v>0</v>
      </c>
      <c r="D52" s="181" t="str">
        <f>IF(C52=0,"",IRR(E52:AI52,B52))</f>
        <v/>
      </c>
      <c r="E52" s="40">
        <f>'C'!E$142</f>
        <v>0</v>
      </c>
      <c r="F52" s="40">
        <f>'C'!F$142</f>
        <v>0</v>
      </c>
      <c r="G52" s="40">
        <f>'C'!G$142</f>
        <v>0</v>
      </c>
      <c r="H52" s="40">
        <f>'C'!H$142</f>
        <v>0</v>
      </c>
      <c r="I52" s="40">
        <f>'C'!I$142</f>
        <v>0</v>
      </c>
      <c r="J52" s="40">
        <f>'C'!J$142</f>
        <v>0</v>
      </c>
      <c r="K52" s="40">
        <f>'C'!K$142</f>
        <v>0</v>
      </c>
      <c r="L52" s="40">
        <f>'C'!L$142</f>
        <v>0</v>
      </c>
      <c r="M52" s="40">
        <f>'C'!M$142</f>
        <v>0</v>
      </c>
      <c r="N52" s="40">
        <f>'C'!N$142</f>
        <v>0</v>
      </c>
      <c r="O52" s="40">
        <f>'C'!O$142</f>
        <v>0</v>
      </c>
      <c r="P52" s="40">
        <f>'C'!P$142</f>
        <v>0</v>
      </c>
      <c r="Q52" s="40">
        <f>'C'!Q$142</f>
        <v>0</v>
      </c>
      <c r="R52" s="40">
        <f>'C'!R$142</f>
        <v>0</v>
      </c>
      <c r="S52" s="40">
        <f>'C'!S$142</f>
        <v>0</v>
      </c>
      <c r="T52" s="40">
        <f>'C'!T$142</f>
        <v>0</v>
      </c>
      <c r="U52" s="40">
        <f>'C'!U$142</f>
        <v>0</v>
      </c>
      <c r="V52" s="40">
        <f>'C'!V$142</f>
        <v>0</v>
      </c>
      <c r="W52" s="40">
        <f>'C'!W$142</f>
        <v>0</v>
      </c>
      <c r="X52" s="40">
        <f>'C'!X$142</f>
        <v>0</v>
      </c>
      <c r="Y52" s="40">
        <f>'C'!Y$142</f>
        <v>0</v>
      </c>
      <c r="Z52" s="40">
        <f>'C'!Z$142</f>
        <v>0</v>
      </c>
      <c r="AA52" s="40">
        <f>'C'!AA$142</f>
        <v>0</v>
      </c>
      <c r="AB52" s="40">
        <f>'C'!AB$142</f>
        <v>0</v>
      </c>
      <c r="AC52" s="40">
        <f>'C'!AC$142</f>
        <v>0</v>
      </c>
      <c r="AD52" s="40">
        <f>'C'!AD$142</f>
        <v>0</v>
      </c>
      <c r="AE52" s="40">
        <f>'C'!AE$142</f>
        <v>0</v>
      </c>
      <c r="AF52" s="40">
        <f>'C'!AF$142</f>
        <v>0</v>
      </c>
      <c r="AG52" s="40">
        <f>'C'!AG$142</f>
        <v>0</v>
      </c>
      <c r="AH52" s="40">
        <f>'C'!AH$142</f>
        <v>0</v>
      </c>
      <c r="AI52" s="40">
        <f>'C'!AI$142</f>
        <v>0</v>
      </c>
    </row>
    <row r="53" spans="1:35" ht="15" customHeight="1" x14ac:dyDescent="0.2">
      <c r="A53" s="173" t="str">
        <f>'C'!A$143</f>
        <v>Offtakers Outside Economy</v>
      </c>
      <c r="B53" s="113">
        <f>'C'!B$143</f>
        <v>0.06</v>
      </c>
      <c r="C53" s="182">
        <f>'C'!C$143</f>
        <v>0</v>
      </c>
      <c r="E53" s="40">
        <f>'C'!E$143</f>
        <v>0</v>
      </c>
      <c r="F53" s="40">
        <f>'C'!F$143</f>
        <v>0</v>
      </c>
      <c r="G53" s="40">
        <f>'C'!G$143</f>
        <v>0</v>
      </c>
      <c r="H53" s="40">
        <f>'C'!H$143</f>
        <v>0</v>
      </c>
      <c r="I53" s="40">
        <f>'C'!I$143</f>
        <v>0</v>
      </c>
      <c r="J53" s="40">
        <f>'C'!J$143</f>
        <v>0</v>
      </c>
      <c r="K53" s="40">
        <f>'C'!K$143</f>
        <v>0</v>
      </c>
      <c r="L53" s="40">
        <f>'C'!L$143</f>
        <v>0</v>
      </c>
      <c r="M53" s="40">
        <f>'C'!M$143</f>
        <v>0</v>
      </c>
      <c r="N53" s="40">
        <f>'C'!N$143</f>
        <v>0</v>
      </c>
      <c r="O53" s="40">
        <f>'C'!O$143</f>
        <v>0</v>
      </c>
      <c r="P53" s="40">
        <f>'C'!P$143</f>
        <v>0</v>
      </c>
      <c r="Q53" s="40">
        <f>'C'!Q$143</f>
        <v>0</v>
      </c>
      <c r="R53" s="40">
        <f>'C'!R$143</f>
        <v>0</v>
      </c>
      <c r="S53" s="40">
        <f>'C'!S$143</f>
        <v>0</v>
      </c>
      <c r="T53" s="40">
        <f>'C'!T$143</f>
        <v>0</v>
      </c>
      <c r="U53" s="40">
        <f>'C'!U$143</f>
        <v>0</v>
      </c>
      <c r="V53" s="40">
        <f>'C'!V$143</f>
        <v>0</v>
      </c>
      <c r="W53" s="40">
        <f>'C'!W$143</f>
        <v>0</v>
      </c>
      <c r="X53" s="40">
        <f>'C'!X$143</f>
        <v>0</v>
      </c>
      <c r="Y53" s="40">
        <f>'C'!Y$143</f>
        <v>0</v>
      </c>
      <c r="Z53" s="40">
        <f>'C'!Z$143</f>
        <v>0</v>
      </c>
      <c r="AA53" s="40">
        <f>'C'!AA$143</f>
        <v>0</v>
      </c>
      <c r="AB53" s="40">
        <f>'C'!AB$143</f>
        <v>0</v>
      </c>
      <c r="AC53" s="40">
        <f>'C'!AC$143</f>
        <v>0</v>
      </c>
      <c r="AD53" s="40">
        <f>'C'!AD$143</f>
        <v>0</v>
      </c>
      <c r="AE53" s="40">
        <f>'C'!AE$143</f>
        <v>0</v>
      </c>
      <c r="AF53" s="40">
        <f>'C'!AF$143</f>
        <v>0</v>
      </c>
      <c r="AG53" s="40">
        <f>'C'!AG$143</f>
        <v>0</v>
      </c>
      <c r="AH53" s="40">
        <f>'C'!AH$143</f>
        <v>0</v>
      </c>
      <c r="AI53" s="40">
        <f>'C'!AI$143</f>
        <v>0</v>
      </c>
    </row>
    <row r="54" spans="1:35" ht="15" customHeight="1" x14ac:dyDescent="0.2">
      <c r="A54" s="173" t="str">
        <f>'C'!A$144</f>
        <v>Lender Outside Economy</v>
      </c>
      <c r="B54" s="113">
        <f>'C'!B$144</f>
        <v>0.06</v>
      </c>
      <c r="C54" s="182">
        <f>'C'!C$144</f>
        <v>0</v>
      </c>
      <c r="E54" s="40">
        <f>'C'!E$144</f>
        <v>0</v>
      </c>
      <c r="F54" s="40">
        <f>'C'!F$144</f>
        <v>0</v>
      </c>
      <c r="G54" s="40">
        <f>'C'!G$144</f>
        <v>0</v>
      </c>
      <c r="H54" s="40">
        <f>'C'!H$144</f>
        <v>0</v>
      </c>
      <c r="I54" s="40">
        <f>'C'!I$144</f>
        <v>0</v>
      </c>
      <c r="J54" s="40">
        <f>'C'!J$144</f>
        <v>0</v>
      </c>
      <c r="K54" s="40">
        <f>'C'!K$144</f>
        <v>0</v>
      </c>
      <c r="L54" s="40">
        <f>'C'!L$144</f>
        <v>0</v>
      </c>
      <c r="M54" s="40">
        <f>'C'!M$144</f>
        <v>0</v>
      </c>
      <c r="N54" s="40">
        <f>'C'!N$144</f>
        <v>0</v>
      </c>
      <c r="O54" s="40">
        <f>'C'!O$144</f>
        <v>0</v>
      </c>
      <c r="P54" s="40">
        <f>'C'!P$144</f>
        <v>0</v>
      </c>
      <c r="Q54" s="40">
        <f>'C'!Q$144</f>
        <v>0</v>
      </c>
      <c r="R54" s="40">
        <f>'C'!R$144</f>
        <v>0</v>
      </c>
      <c r="S54" s="40">
        <f>'C'!S$144</f>
        <v>0</v>
      </c>
      <c r="T54" s="40">
        <f>'C'!T$144</f>
        <v>0</v>
      </c>
      <c r="U54" s="40">
        <f>'C'!U$144</f>
        <v>0</v>
      </c>
      <c r="V54" s="40">
        <f>'C'!V$144</f>
        <v>0</v>
      </c>
      <c r="W54" s="40">
        <f>'C'!W$144</f>
        <v>0</v>
      </c>
      <c r="X54" s="40">
        <f>'C'!X$144</f>
        <v>0</v>
      </c>
      <c r="Y54" s="40">
        <f>'C'!Y$144</f>
        <v>0</v>
      </c>
      <c r="Z54" s="40">
        <f>'C'!Z$144</f>
        <v>0</v>
      </c>
      <c r="AA54" s="40">
        <f>'C'!AA$144</f>
        <v>0</v>
      </c>
      <c r="AB54" s="40">
        <f>'C'!AB$144</f>
        <v>0</v>
      </c>
      <c r="AC54" s="40">
        <f>'C'!AC$144</f>
        <v>0</v>
      </c>
      <c r="AD54" s="40">
        <f>'C'!AD$144</f>
        <v>0</v>
      </c>
      <c r="AE54" s="40">
        <f>'C'!AE$144</f>
        <v>0</v>
      </c>
      <c r="AF54" s="40">
        <f>'C'!AF$144</f>
        <v>0</v>
      </c>
      <c r="AG54" s="40">
        <f>'C'!AG$144</f>
        <v>0</v>
      </c>
      <c r="AH54" s="40">
        <f>'C'!AH$144</f>
        <v>0</v>
      </c>
      <c r="AI54" s="40">
        <f>'C'!AI$144</f>
        <v>0</v>
      </c>
    </row>
    <row r="55" spans="1:35" ht="15" customHeight="1" x14ac:dyDescent="0.2">
      <c r="A55" s="174" t="str">
        <f>'C'!A$145</f>
        <v>Local Economy</v>
      </c>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row>
    <row r="56" spans="1:35" ht="15" customHeight="1" x14ac:dyDescent="0.25">
      <c r="A56" s="173" t="str">
        <f>'C'!A$146</f>
        <v>Original Owner - Local</v>
      </c>
      <c r="B56" s="113">
        <f>'C'!B$146</f>
        <v>0.06</v>
      </c>
      <c r="C56" s="182">
        <f>'C'!C$146</f>
        <v>277335.87056641711</v>
      </c>
      <c r="D56" s="181">
        <f t="shared" ref="D56:D57" si="2">IF(C56=0,"",IRR(E56:AI56,B56))</f>
        <v>0.10897656306580461</v>
      </c>
      <c r="E56" s="40">
        <f>'C'!E$146</f>
        <v>-621600</v>
      </c>
      <c r="F56" s="40">
        <f>'C'!F$146</f>
        <v>119081.19308806644</v>
      </c>
      <c r="G56" s="40">
        <f>'C'!G$146</f>
        <v>162963.33591621963</v>
      </c>
      <c r="H56" s="40">
        <f>'C'!H$146</f>
        <v>111648.56206550825</v>
      </c>
      <c r="I56" s="40">
        <f>'C'!I$146</f>
        <v>79928.331863430736</v>
      </c>
      <c r="J56" s="40">
        <f>'C'!J$146</f>
        <v>77621.847505210346</v>
      </c>
      <c r="K56" s="40">
        <f>'C'!K$146</f>
        <v>53160.956448932608</v>
      </c>
      <c r="L56" s="40">
        <f>'C'!L$146</f>
        <v>28641.982297961353</v>
      </c>
      <c r="M56" s="40">
        <f>'C'!M$146</f>
        <v>26161.075139947388</v>
      </c>
      <c r="N56" s="40">
        <f>'C'!N$146</f>
        <v>23615.417309905402</v>
      </c>
      <c r="O56" s="40">
        <f>'C'!O$146</f>
        <v>-29874.611457116334</v>
      </c>
      <c r="P56" s="40">
        <f>'C'!P$146</f>
        <v>18315.16247968578</v>
      </c>
      <c r="Q56" s="40">
        <f>'C'!Q$146</f>
        <v>15552.694486912165</v>
      </c>
      <c r="R56" s="40">
        <f>'C'!R$146</f>
        <v>12709.708750267935</v>
      </c>
      <c r="S56" s="40">
        <f>'C'!S$146</f>
        <v>9781.6845976213954</v>
      </c>
      <c r="T56" s="40">
        <f>'C'!T$146</f>
        <v>6763.8420056902687</v>
      </c>
      <c r="U56" s="40">
        <f>'C'!U$146</f>
        <v>99653.607353398882</v>
      </c>
      <c r="V56" s="40">
        <f>'C'!V$146</f>
        <v>98014.345368872091</v>
      </c>
      <c r="W56" s="40">
        <f>'C'!W$146</f>
        <v>96363.630902430828</v>
      </c>
      <c r="X56" s="40">
        <f>'C'!X$146</f>
        <v>94701.148713285991</v>
      </c>
      <c r="Y56" s="40">
        <f>'C'!Y$146</f>
        <v>42150.577593149588</v>
      </c>
      <c r="Z56" s="40">
        <f>'C'!Z$146</f>
        <v>128025.24261565022</v>
      </c>
      <c r="AA56" s="40">
        <f>'C'!AA$146</f>
        <v>129539.73826042078</v>
      </c>
      <c r="AB56" s="40">
        <f>'C'!AB$146</f>
        <v>131075.69819097014</v>
      </c>
      <c r="AC56" s="40">
        <f>'C'!AC$146</f>
        <v>132633.35751946107</v>
      </c>
      <c r="AD56" s="40">
        <f>'C'!AD$146</f>
        <v>134212.95302940119</v>
      </c>
      <c r="AE56" s="40">
        <f>'C'!AE$146</f>
        <v>0</v>
      </c>
      <c r="AF56" s="40">
        <f>'C'!AF$146</f>
        <v>0</v>
      </c>
      <c r="AG56" s="40">
        <f>'C'!AG$146</f>
        <v>0</v>
      </c>
      <c r="AH56" s="40">
        <f>'C'!AH$146</f>
        <v>0</v>
      </c>
      <c r="AI56" s="40">
        <f>'C'!AI$146</f>
        <v>0</v>
      </c>
    </row>
    <row r="57" spans="1:35" ht="15" customHeight="1" x14ac:dyDescent="0.25">
      <c r="A57" s="173" t="str">
        <f>'C'!A$147</f>
        <v>Local Owner after Flip</v>
      </c>
      <c r="B57" s="113">
        <f>'C'!B$147</f>
        <v>0.06</v>
      </c>
      <c r="C57" s="182">
        <f>'C'!C$147</f>
        <v>0</v>
      </c>
      <c r="D57" s="181" t="str">
        <f t="shared" si="2"/>
        <v/>
      </c>
      <c r="E57" s="40">
        <f>'C'!E$147</f>
        <v>0</v>
      </c>
      <c r="F57" s="40">
        <f>'C'!F$147</f>
        <v>0</v>
      </c>
      <c r="G57" s="40">
        <f>'C'!G$147</f>
        <v>0</v>
      </c>
      <c r="H57" s="40">
        <f>'C'!H$147</f>
        <v>0</v>
      </c>
      <c r="I57" s="40">
        <f>'C'!I$147</f>
        <v>0</v>
      </c>
      <c r="J57" s="40">
        <f>'C'!J$147</f>
        <v>0</v>
      </c>
      <c r="K57" s="40">
        <f>'C'!K$147</f>
        <v>0</v>
      </c>
      <c r="L57" s="40">
        <f>'C'!L$147</f>
        <v>0</v>
      </c>
      <c r="M57" s="40">
        <f>'C'!M$147</f>
        <v>0</v>
      </c>
      <c r="N57" s="40">
        <f>'C'!N$147</f>
        <v>0</v>
      </c>
      <c r="O57" s="40">
        <f>'C'!O$147</f>
        <v>0</v>
      </c>
      <c r="P57" s="40">
        <f>'C'!P$147</f>
        <v>0</v>
      </c>
      <c r="Q57" s="40">
        <f>'C'!Q$147</f>
        <v>0</v>
      </c>
      <c r="R57" s="40">
        <f>'C'!R$147</f>
        <v>0</v>
      </c>
      <c r="S57" s="40">
        <f>'C'!S$147</f>
        <v>0</v>
      </c>
      <c r="T57" s="40">
        <f>'C'!T$147</f>
        <v>0</v>
      </c>
      <c r="U57" s="40">
        <f>'C'!U$147</f>
        <v>0</v>
      </c>
      <c r="V57" s="40">
        <f>'C'!V$147</f>
        <v>0</v>
      </c>
      <c r="W57" s="40">
        <f>'C'!W$147</f>
        <v>0</v>
      </c>
      <c r="X57" s="40">
        <f>'C'!X$147</f>
        <v>0</v>
      </c>
      <c r="Y57" s="40">
        <f>'C'!Y$147</f>
        <v>0</v>
      </c>
      <c r="Z57" s="40">
        <f>'C'!Z$147</f>
        <v>0</v>
      </c>
      <c r="AA57" s="40">
        <f>'C'!AA$147</f>
        <v>0</v>
      </c>
      <c r="AB57" s="40">
        <f>'C'!AB$147</f>
        <v>0</v>
      </c>
      <c r="AC57" s="40">
        <f>'C'!AC$147</f>
        <v>0</v>
      </c>
      <c r="AD57" s="40">
        <f>'C'!AD$147</f>
        <v>0</v>
      </c>
      <c r="AE57" s="40">
        <f>'C'!AE$147</f>
        <v>0</v>
      </c>
      <c r="AF57" s="40">
        <f>'C'!AF$147</f>
        <v>0</v>
      </c>
      <c r="AG57" s="40">
        <f>'C'!AG$147</f>
        <v>0</v>
      </c>
      <c r="AH57" s="40">
        <f>'C'!AH$147</f>
        <v>0</v>
      </c>
      <c r="AI57" s="40">
        <f>'C'!AI$147</f>
        <v>0</v>
      </c>
    </row>
    <row r="58" spans="1:35" ht="15" customHeight="1" x14ac:dyDescent="0.2">
      <c r="A58" s="173" t="str">
        <f>'C'!A$148</f>
        <v>Offtakers Local Economy</v>
      </c>
      <c r="B58" s="113">
        <f>'C'!B$148</f>
        <v>0.06</v>
      </c>
      <c r="C58" s="182">
        <f>'C'!C$148</f>
        <v>642050.22265572508</v>
      </c>
      <c r="E58" s="40">
        <f>'C'!E$148</f>
        <v>0</v>
      </c>
      <c r="F58" s="40">
        <f>'C'!F$148</f>
        <v>43690.5</v>
      </c>
      <c r="G58" s="40">
        <f>'C'!G$148</f>
        <v>44341.488450000004</v>
      </c>
      <c r="H58" s="40">
        <f>'C'!H$148</f>
        <v>45002.176627905006</v>
      </c>
      <c r="I58" s="40">
        <f>'C'!I$148</f>
        <v>45672.709059660789</v>
      </c>
      <c r="J58" s="40">
        <f>'C'!J$148</f>
        <v>46353.232424649737</v>
      </c>
      <c r="K58" s="40">
        <f>'C'!K$148</f>
        <v>47043.89558777702</v>
      </c>
      <c r="L58" s="40">
        <f>'C'!L$148</f>
        <v>47744.8496320349</v>
      </c>
      <c r="M58" s="40">
        <f>'C'!M$148</f>
        <v>48456.247891552201</v>
      </c>
      <c r="N58" s="40">
        <f>'C'!N$148</f>
        <v>49178.245985136338</v>
      </c>
      <c r="O58" s="40">
        <f>'C'!O$148</f>
        <v>49911.001850314868</v>
      </c>
      <c r="P58" s="40">
        <f>'C'!P$148</f>
        <v>50654.675777884557</v>
      </c>
      <c r="Q58" s="40">
        <f>'C'!Q$148</f>
        <v>51409.430446975035</v>
      </c>
      <c r="R58" s="40">
        <f>'C'!R$148</f>
        <v>52175.430960634971</v>
      </c>
      <c r="S58" s="40">
        <f>'C'!S$148</f>
        <v>52952.844881948418</v>
      </c>
      <c r="T58" s="40">
        <f>'C'!T$148</f>
        <v>53741.842270689471</v>
      </c>
      <c r="U58" s="40">
        <f>'C'!U$148</f>
        <v>54542.595720522717</v>
      </c>
      <c r="V58" s="40">
        <f>'C'!V$148</f>
        <v>55355.280396758521</v>
      </c>
      <c r="W58" s="40">
        <f>'C'!W$148</f>
        <v>56180.074074670229</v>
      </c>
      <c r="X58" s="40">
        <f>'C'!X$148</f>
        <v>57017.157178382804</v>
      </c>
      <c r="Y58" s="40">
        <f>'C'!Y$148</f>
        <v>57866.712820340697</v>
      </c>
      <c r="Z58" s="40">
        <f>'C'!Z$148</f>
        <v>58728.926841363776</v>
      </c>
      <c r="AA58" s="40">
        <f>'C'!AA$148</f>
        <v>59603.987851300095</v>
      </c>
      <c r="AB58" s="40">
        <f>'C'!AB$148</f>
        <v>60492.087270284479</v>
      </c>
      <c r="AC58" s="40">
        <f>'C'!AC$148</f>
        <v>61393.4193706117</v>
      </c>
      <c r="AD58" s="40">
        <f>'C'!AD$148</f>
        <v>62308.181319233809</v>
      </c>
      <c r="AE58" s="40">
        <f>'C'!AE$148</f>
        <v>0</v>
      </c>
      <c r="AF58" s="40">
        <f>'C'!AF$148</f>
        <v>0</v>
      </c>
      <c r="AG58" s="40">
        <f>'C'!AG$148</f>
        <v>0</v>
      </c>
      <c r="AH58" s="40">
        <f>'C'!AH$148</f>
        <v>0</v>
      </c>
      <c r="AI58" s="40">
        <f>'C'!AI$148</f>
        <v>0</v>
      </c>
    </row>
    <row r="59" spans="1:35" ht="15" customHeight="1" x14ac:dyDescent="0.2">
      <c r="A59" s="173" t="str">
        <f>'C'!A$149</f>
        <v>Lender Local Economy</v>
      </c>
      <c r="B59" s="113">
        <f>'C'!B$149</f>
        <v>0.06</v>
      </c>
      <c r="C59" s="182">
        <f>'C'!C$149</f>
        <v>365534.70124622306</v>
      </c>
      <c r="E59" s="40">
        <f>'C'!E$149</f>
        <v>0</v>
      </c>
      <c r="F59" s="40">
        <f>'C'!F$149</f>
        <v>55944</v>
      </c>
      <c r="G59" s="40">
        <f>'C'!G$149</f>
        <v>53540.491133283984</v>
      </c>
      <c r="H59" s="40">
        <f>'C'!H$149</f>
        <v>50992.771734565009</v>
      </c>
      <c r="I59" s="40">
        <f>'C'!I$149</f>
        <v>48292.189171922895</v>
      </c>
      <c r="J59" s="40">
        <f>'C'!J$149</f>
        <v>45429.571655522261</v>
      </c>
      <c r="K59" s="40">
        <f>'C'!K$149</f>
        <v>42395.197088137582</v>
      </c>
      <c r="L59" s="40">
        <f>'C'!L$149</f>
        <v>39178.760046709824</v>
      </c>
      <c r="M59" s="40">
        <f>'C'!M$149</f>
        <v>35769.336782796403</v>
      </c>
      <c r="N59" s="40">
        <f>'C'!N$149</f>
        <v>32155.348123048174</v>
      </c>
      <c r="O59" s="40">
        <f>'C'!O$149</f>
        <v>28324.52014371505</v>
      </c>
      <c r="P59" s="40">
        <f>'C'!P$149</f>
        <v>24263.842485621943</v>
      </c>
      <c r="Q59" s="40">
        <f>'C'!Q$149</f>
        <v>19959.524168043245</v>
      </c>
      <c r="R59" s="40">
        <f>'C'!R$149</f>
        <v>15396.946751409825</v>
      </c>
      <c r="S59" s="40">
        <f>'C'!S$149</f>
        <v>10560.614689778402</v>
      </c>
      <c r="T59" s="40">
        <f>'C'!T$149</f>
        <v>5434.102704449092</v>
      </c>
      <c r="U59" s="40">
        <f>'C'!U$149</f>
        <v>0</v>
      </c>
      <c r="V59" s="40">
        <f>'C'!V$149</f>
        <v>0</v>
      </c>
      <c r="W59" s="40">
        <f>'C'!W$149</f>
        <v>0</v>
      </c>
      <c r="X59" s="40">
        <f>'C'!X$149</f>
        <v>0</v>
      </c>
      <c r="Y59" s="40">
        <f>'C'!Y$149</f>
        <v>0</v>
      </c>
      <c r="Z59" s="40">
        <f>'C'!Z$149</f>
        <v>0</v>
      </c>
      <c r="AA59" s="40">
        <f>'C'!AA$149</f>
        <v>0</v>
      </c>
      <c r="AB59" s="40">
        <f>'C'!AB$149</f>
        <v>0</v>
      </c>
      <c r="AC59" s="40">
        <f>'C'!AC$149</f>
        <v>0</v>
      </c>
      <c r="AD59" s="40">
        <f>'C'!AD$149</f>
        <v>0</v>
      </c>
      <c r="AE59" s="40">
        <f>'C'!AE$149</f>
        <v>0</v>
      </c>
      <c r="AF59" s="40">
        <f>'C'!AF$149</f>
        <v>0</v>
      </c>
      <c r="AG59" s="40">
        <f>'C'!AG$149</f>
        <v>0</v>
      </c>
      <c r="AH59" s="40">
        <f>'C'!AH$149</f>
        <v>0</v>
      </c>
      <c r="AI59" s="40">
        <f>'C'!AI$149</f>
        <v>0</v>
      </c>
    </row>
    <row r="60" spans="1:35" ht="15" customHeight="1" x14ac:dyDescent="0.2">
      <c r="A60" s="173" t="str">
        <f>'C'!A$150</f>
        <v>Community PILOT / Lease</v>
      </c>
      <c r="B60" s="113">
        <f>'C'!B$150</f>
        <v>0.06</v>
      </c>
      <c r="C60" s="182">
        <f>'C'!C$150</f>
        <v>127833.56158268398</v>
      </c>
      <c r="E60" s="40">
        <f>'C'!E$150</f>
        <v>0</v>
      </c>
      <c r="F60" s="40">
        <f>'C'!F$150</f>
        <v>10000</v>
      </c>
      <c r="G60" s="40">
        <f>'C'!G$150</f>
        <v>10000</v>
      </c>
      <c r="H60" s="40">
        <f>'C'!H$150</f>
        <v>10000</v>
      </c>
      <c r="I60" s="40">
        <f>'C'!I$150</f>
        <v>10000</v>
      </c>
      <c r="J60" s="40">
        <f>'C'!J$150</f>
        <v>10000</v>
      </c>
      <c r="K60" s="40">
        <f>'C'!K$150</f>
        <v>10000</v>
      </c>
      <c r="L60" s="40">
        <f>'C'!L$150</f>
        <v>10000</v>
      </c>
      <c r="M60" s="40">
        <f>'C'!M$150</f>
        <v>10000</v>
      </c>
      <c r="N60" s="40">
        <f>'C'!N$150</f>
        <v>10000</v>
      </c>
      <c r="O60" s="40">
        <f>'C'!O$150</f>
        <v>10000</v>
      </c>
      <c r="P60" s="40">
        <f>'C'!P$150</f>
        <v>10000</v>
      </c>
      <c r="Q60" s="40">
        <f>'C'!Q$150</f>
        <v>10000</v>
      </c>
      <c r="R60" s="40">
        <f>'C'!R$150</f>
        <v>10000</v>
      </c>
      <c r="S60" s="40">
        <f>'C'!S$150</f>
        <v>10000</v>
      </c>
      <c r="T60" s="40">
        <f>'C'!T$150</f>
        <v>10000</v>
      </c>
      <c r="U60" s="40">
        <f>'C'!U$150</f>
        <v>10000</v>
      </c>
      <c r="V60" s="40">
        <f>'C'!V$150</f>
        <v>10000</v>
      </c>
      <c r="W60" s="40">
        <f>'C'!W$150</f>
        <v>10000</v>
      </c>
      <c r="X60" s="40">
        <f>'C'!X$150</f>
        <v>10000</v>
      </c>
      <c r="Y60" s="40">
        <f>'C'!Y$150</f>
        <v>10000</v>
      </c>
      <c r="Z60" s="40">
        <f>'C'!Z$150</f>
        <v>10000</v>
      </c>
      <c r="AA60" s="40">
        <f>'C'!AA$150</f>
        <v>10000</v>
      </c>
      <c r="AB60" s="40">
        <f>'C'!AB$150</f>
        <v>10000</v>
      </c>
      <c r="AC60" s="40">
        <f>'C'!AC$150</f>
        <v>10000</v>
      </c>
      <c r="AD60" s="40">
        <f>'C'!AD$150</f>
        <v>10000</v>
      </c>
      <c r="AE60" s="40">
        <f>'C'!AE$150</f>
        <v>0</v>
      </c>
      <c r="AF60" s="40">
        <f>'C'!AF$150</f>
        <v>0</v>
      </c>
      <c r="AG60" s="40">
        <f>'C'!AG$150</f>
        <v>0</v>
      </c>
      <c r="AH60" s="40">
        <f>'C'!AH$150</f>
        <v>0</v>
      </c>
      <c r="AI60" s="40">
        <f>'C'!AI$150</f>
        <v>0</v>
      </c>
    </row>
    <row r="61" spans="1:35" ht="15" customHeight="1" x14ac:dyDescent="0.2">
      <c r="A61" s="2"/>
      <c r="B61" s="2"/>
      <c r="C61" s="9"/>
      <c r="E61" s="2"/>
      <c r="F61" s="2"/>
      <c r="G61" s="2"/>
      <c r="H61" s="2"/>
      <c r="I61" s="2"/>
      <c r="J61" s="2"/>
      <c r="K61" s="2"/>
      <c r="L61" s="2"/>
      <c r="M61" s="2"/>
      <c r="N61" s="2"/>
      <c r="O61" s="2"/>
      <c r="P61" s="2"/>
      <c r="Q61" s="2"/>
      <c r="R61" s="2"/>
      <c r="S61" s="2"/>
      <c r="T61" s="2"/>
      <c r="U61" s="26"/>
      <c r="V61" s="2"/>
      <c r="W61" s="2"/>
      <c r="X61" s="2"/>
      <c r="Y61" s="2"/>
      <c r="Z61" s="2"/>
      <c r="AA61" s="2"/>
      <c r="AB61" s="2"/>
      <c r="AC61" s="2"/>
      <c r="AD61" s="2"/>
      <c r="AE61" s="2"/>
      <c r="AF61" s="2"/>
      <c r="AG61" s="2"/>
      <c r="AH61" s="2"/>
      <c r="AI61" s="2"/>
    </row>
    <row r="62" spans="1:35" ht="15" customHeight="1" x14ac:dyDescent="0.25">
      <c r="A62" s="186" t="str">
        <f>'C'!A$152</f>
        <v>Total</v>
      </c>
      <c r="B62" s="176"/>
      <c r="C62" s="182">
        <f>'C'!C$152</f>
        <v>1412754.3560510487</v>
      </c>
      <c r="E62" s="40">
        <f>'C'!E$152</f>
        <v>-621600</v>
      </c>
      <c r="F62" s="40">
        <f>'C'!F$152</f>
        <v>228715.69308806644</v>
      </c>
      <c r="G62" s="40">
        <f>'C'!G$152</f>
        <v>270845.31549950363</v>
      </c>
      <c r="H62" s="40">
        <f>'C'!H$152</f>
        <v>217643.51042797827</v>
      </c>
      <c r="I62" s="40">
        <f>'C'!I$152</f>
        <v>183893.23009501441</v>
      </c>
      <c r="J62" s="40">
        <f>'C'!J$152</f>
        <v>179404.65158538235</v>
      </c>
      <c r="K62" s="40">
        <f>'C'!K$152</f>
        <v>152600.04912484722</v>
      </c>
      <c r="L62" s="40">
        <f>'C'!L$152</f>
        <v>125565.59197670608</v>
      </c>
      <c r="M62" s="40">
        <f>'C'!M$152</f>
        <v>120386.659814296</v>
      </c>
      <c r="N62" s="40">
        <f>'C'!N$152</f>
        <v>114949.01141808991</v>
      </c>
      <c r="O62" s="40">
        <f>'C'!O$152</f>
        <v>58360.91053691358</v>
      </c>
      <c r="P62" s="40">
        <f>'C'!P$152</f>
        <v>103233.68074319229</v>
      </c>
      <c r="Q62" s="40">
        <f>'C'!Q$152</f>
        <v>96921.649101930438</v>
      </c>
      <c r="R62" s="40">
        <f>'C'!R$152</f>
        <v>90282.086462312727</v>
      </c>
      <c r="S62" s="40">
        <f>'C'!S$152</f>
        <v>83295.144169348219</v>
      </c>
      <c r="T62" s="40">
        <f>'C'!T$152</f>
        <v>75939.786980828838</v>
      </c>
      <c r="U62" s="40">
        <f>'C'!U$152</f>
        <v>164196.20307392161</v>
      </c>
      <c r="V62" s="40">
        <f>'C'!V$152</f>
        <v>163369.62576563063</v>
      </c>
      <c r="W62" s="40">
        <f>'C'!W$152</f>
        <v>162543.70497710106</v>
      </c>
      <c r="X62" s="40">
        <f>'C'!X$152</f>
        <v>161718.3058916688</v>
      </c>
      <c r="Y62" s="40">
        <f>'C'!Y$152</f>
        <v>110017.29041349029</v>
      </c>
      <c r="Z62" s="40">
        <f>'C'!Z$152</f>
        <v>196754.16945701401</v>
      </c>
      <c r="AA62" s="40">
        <f>'C'!AA$152</f>
        <v>199143.72611172087</v>
      </c>
      <c r="AB62" s="40">
        <f>'C'!AB$152</f>
        <v>201567.78546125462</v>
      </c>
      <c r="AC62" s="40">
        <f>'C'!AC$152</f>
        <v>204026.77689007277</v>
      </c>
      <c r="AD62" s="40">
        <f>'C'!AD$152</f>
        <v>206521.13434863501</v>
      </c>
      <c r="AE62" s="40">
        <f>'C'!AE$152</f>
        <v>0</v>
      </c>
      <c r="AF62" s="40">
        <f>'C'!AF$152</f>
        <v>0</v>
      </c>
      <c r="AG62" s="40">
        <f>'C'!AG$152</f>
        <v>0</v>
      </c>
      <c r="AH62" s="40">
        <f>'C'!AH$152</f>
        <v>0</v>
      </c>
      <c r="AI62" s="40">
        <f>'C'!AI$152</f>
        <v>0</v>
      </c>
    </row>
    <row r="63" spans="1:35" ht="15" customHeight="1" x14ac:dyDescent="0.2">
      <c r="A63" s="185" t="str">
        <f>'C'!A$153</f>
        <v>Local Economy</v>
      </c>
      <c r="B63" s="175">
        <f>'C'!B$153</f>
        <v>0.06</v>
      </c>
      <c r="C63" s="182">
        <f>'C'!C$153</f>
        <v>1412754.3560510487</v>
      </c>
      <c r="E63" s="40">
        <f>'C'!E$153</f>
        <v>-621600</v>
      </c>
      <c r="F63" s="40">
        <f>'C'!F$153</f>
        <v>228715.69308806644</v>
      </c>
      <c r="G63" s="40">
        <f>'C'!G$153</f>
        <v>270845.31549950363</v>
      </c>
      <c r="H63" s="40">
        <f>'C'!H$153</f>
        <v>217643.51042797827</v>
      </c>
      <c r="I63" s="40">
        <f>'C'!I$153</f>
        <v>183893.23009501441</v>
      </c>
      <c r="J63" s="40">
        <f>'C'!J$153</f>
        <v>179404.65158538235</v>
      </c>
      <c r="K63" s="40">
        <f>'C'!K$153</f>
        <v>152600.04912484722</v>
      </c>
      <c r="L63" s="40">
        <f>'C'!L$153</f>
        <v>125565.59197670608</v>
      </c>
      <c r="M63" s="40">
        <f>'C'!M$153</f>
        <v>120386.659814296</v>
      </c>
      <c r="N63" s="40">
        <f>'C'!N$153</f>
        <v>114949.01141808991</v>
      </c>
      <c r="O63" s="40">
        <f>'C'!O$153</f>
        <v>58360.91053691358</v>
      </c>
      <c r="P63" s="40">
        <f>'C'!P$153</f>
        <v>103233.68074319229</v>
      </c>
      <c r="Q63" s="40">
        <f>'C'!Q$153</f>
        <v>96921.649101930438</v>
      </c>
      <c r="R63" s="40">
        <f>'C'!R$153</f>
        <v>90282.086462312727</v>
      </c>
      <c r="S63" s="40">
        <f>'C'!S$153</f>
        <v>83295.144169348219</v>
      </c>
      <c r="T63" s="40">
        <f>'C'!T$153</f>
        <v>75939.786980828838</v>
      </c>
      <c r="U63" s="40">
        <f>'C'!U$153</f>
        <v>164196.20307392161</v>
      </c>
      <c r="V63" s="40">
        <f>'C'!V$153</f>
        <v>163369.62576563063</v>
      </c>
      <c r="W63" s="40">
        <f>'C'!W$153</f>
        <v>162543.70497710106</v>
      </c>
      <c r="X63" s="40">
        <f>'C'!X$153</f>
        <v>161718.3058916688</v>
      </c>
      <c r="Y63" s="40">
        <f>'C'!Y$153</f>
        <v>110017.29041349029</v>
      </c>
      <c r="Z63" s="40">
        <f>'C'!Z$153</f>
        <v>196754.16945701401</v>
      </c>
      <c r="AA63" s="40">
        <f>'C'!AA$153</f>
        <v>199143.72611172087</v>
      </c>
      <c r="AB63" s="40">
        <f>'C'!AB$153</f>
        <v>201567.78546125462</v>
      </c>
      <c r="AC63" s="40">
        <f>'C'!AC$153</f>
        <v>204026.77689007277</v>
      </c>
      <c r="AD63" s="40">
        <f>'C'!AD$153</f>
        <v>206521.13434863501</v>
      </c>
      <c r="AE63" s="40">
        <f>'C'!AE$153</f>
        <v>0</v>
      </c>
      <c r="AF63" s="40">
        <f>'C'!AF$153</f>
        <v>0</v>
      </c>
      <c r="AG63" s="40">
        <f>'C'!AG$153</f>
        <v>0</v>
      </c>
      <c r="AH63" s="40">
        <f>'C'!AH$153</f>
        <v>0</v>
      </c>
      <c r="AI63" s="40">
        <f>'C'!AI$153</f>
        <v>0</v>
      </c>
    </row>
    <row r="64" spans="1:35" ht="15" customHeight="1" x14ac:dyDescent="0.2">
      <c r="A64" s="185" t="str">
        <f>'C'!A$154</f>
        <v>Outside Economy</v>
      </c>
      <c r="B64" s="175">
        <f>'C'!B$154</f>
        <v>0.06</v>
      </c>
      <c r="C64" s="182">
        <f>'C'!C$154</f>
        <v>0</v>
      </c>
      <c r="E64" s="40">
        <f>'C'!E$154</f>
        <v>0</v>
      </c>
      <c r="F64" s="40">
        <f>'C'!F$154</f>
        <v>0</v>
      </c>
      <c r="G64" s="40">
        <f>'C'!G$154</f>
        <v>0</v>
      </c>
      <c r="H64" s="40">
        <f>'C'!H$154</f>
        <v>0</v>
      </c>
      <c r="I64" s="40">
        <f>'C'!I$154</f>
        <v>0</v>
      </c>
      <c r="J64" s="40">
        <f>'C'!J$154</f>
        <v>0</v>
      </c>
      <c r="K64" s="40">
        <f>'C'!K$154</f>
        <v>0</v>
      </c>
      <c r="L64" s="40">
        <f>'C'!L$154</f>
        <v>0</v>
      </c>
      <c r="M64" s="40">
        <f>'C'!M$154</f>
        <v>0</v>
      </c>
      <c r="N64" s="40">
        <f>'C'!N$154</f>
        <v>0</v>
      </c>
      <c r="O64" s="40">
        <f>'C'!O$154</f>
        <v>0</v>
      </c>
      <c r="P64" s="40">
        <f>'C'!P$154</f>
        <v>0</v>
      </c>
      <c r="Q64" s="40">
        <f>'C'!Q$154</f>
        <v>0</v>
      </c>
      <c r="R64" s="40">
        <f>'C'!R$154</f>
        <v>0</v>
      </c>
      <c r="S64" s="40">
        <f>'C'!S$154</f>
        <v>0</v>
      </c>
      <c r="T64" s="40">
        <f>'C'!T$154</f>
        <v>0</v>
      </c>
      <c r="U64" s="40">
        <f>'C'!U$154</f>
        <v>0</v>
      </c>
      <c r="V64" s="40">
        <f>'C'!V$154</f>
        <v>0</v>
      </c>
      <c r="W64" s="40">
        <f>'C'!W$154</f>
        <v>0</v>
      </c>
      <c r="X64" s="40">
        <f>'C'!X$154</f>
        <v>0</v>
      </c>
      <c r="Y64" s="40">
        <f>'C'!Y$154</f>
        <v>0</v>
      </c>
      <c r="Z64" s="40">
        <f>'C'!Z$154</f>
        <v>0</v>
      </c>
      <c r="AA64" s="40">
        <f>'C'!AA$154</f>
        <v>0</v>
      </c>
      <c r="AB64" s="40">
        <f>'C'!AB$154</f>
        <v>0</v>
      </c>
      <c r="AC64" s="40">
        <f>'C'!AC$154</f>
        <v>0</v>
      </c>
      <c r="AD64" s="40">
        <f>'C'!AD$154</f>
        <v>0</v>
      </c>
      <c r="AE64" s="40">
        <f>'C'!AE$154</f>
        <v>0</v>
      </c>
      <c r="AF64" s="40">
        <f>'C'!AF$154</f>
        <v>0</v>
      </c>
      <c r="AG64" s="40">
        <f>'C'!AG$154</f>
        <v>0</v>
      </c>
      <c r="AH64" s="40">
        <f>'C'!AH$154</f>
        <v>0</v>
      </c>
      <c r="AI64" s="40">
        <f>'C'!AI$154</f>
        <v>0</v>
      </c>
    </row>
    <row r="65" spans="1:35" ht="15" customHeight="1" x14ac:dyDescent="0.2">
      <c r="A65" s="185" t="str">
        <f>'C'!A$155</f>
        <v>Cumulative  - Local</v>
      </c>
      <c r="B65" s="175">
        <f>'C'!B$155</f>
        <v>0</v>
      </c>
      <c r="C65" s="182">
        <f>'C'!C$155</f>
        <v>3250295.6934149205</v>
      </c>
      <c r="E65" s="40">
        <f>'C'!E$155</f>
        <v>-621600</v>
      </c>
      <c r="F65" s="40">
        <f>'C'!F$155</f>
        <v>-392884.30691193359</v>
      </c>
      <c r="G65" s="40">
        <f>'C'!G$155</f>
        <v>-122038.99141242995</v>
      </c>
      <c r="H65" s="40">
        <f>'C'!H$155</f>
        <v>95604.519015548314</v>
      </c>
      <c r="I65" s="40">
        <f>'C'!I$155</f>
        <v>279497.74911056273</v>
      </c>
      <c r="J65" s="40">
        <f>'C'!J$155</f>
        <v>458902.40069594508</v>
      </c>
      <c r="K65" s="40">
        <f>'C'!K$155</f>
        <v>611502.4498207923</v>
      </c>
      <c r="L65" s="40">
        <f>'C'!L$155</f>
        <v>737068.04179749836</v>
      </c>
      <c r="M65" s="40">
        <f>'C'!M$155</f>
        <v>857454.7016117943</v>
      </c>
      <c r="N65" s="40">
        <f>'C'!N$155</f>
        <v>972403.71302988427</v>
      </c>
      <c r="O65" s="40">
        <f>'C'!O$155</f>
        <v>1030764.6235667978</v>
      </c>
      <c r="P65" s="40">
        <f>'C'!P$155</f>
        <v>1133998.30430999</v>
      </c>
      <c r="Q65" s="40">
        <f>'C'!Q$155</f>
        <v>1230919.9534119205</v>
      </c>
      <c r="R65" s="40">
        <f>'C'!R$155</f>
        <v>1321202.0398742333</v>
      </c>
      <c r="S65" s="40">
        <f>'C'!S$155</f>
        <v>1404497.1840435816</v>
      </c>
      <c r="T65" s="40">
        <f>'C'!T$155</f>
        <v>1480436.9710244103</v>
      </c>
      <c r="U65" s="40">
        <f>'C'!U$155</f>
        <v>1644633.1740983319</v>
      </c>
      <c r="V65" s="40">
        <f>'C'!V$155</f>
        <v>1808002.7998639625</v>
      </c>
      <c r="W65" s="40">
        <f>'C'!W$155</f>
        <v>1970546.5048410636</v>
      </c>
      <c r="X65" s="40">
        <f>'C'!X$155</f>
        <v>2132264.8107327325</v>
      </c>
      <c r="Y65" s="40">
        <f>'C'!Y$155</f>
        <v>2242282.101146223</v>
      </c>
      <c r="Z65" s="40">
        <f>'C'!Z$155</f>
        <v>2439036.2706032372</v>
      </c>
      <c r="AA65" s="40">
        <f>'C'!AA$155</f>
        <v>2638179.996714958</v>
      </c>
      <c r="AB65" s="40">
        <f>'C'!AB$155</f>
        <v>2839747.7821762124</v>
      </c>
      <c r="AC65" s="40">
        <f>'C'!AC$155</f>
        <v>3043774.5590662854</v>
      </c>
      <c r="AD65" s="40">
        <f>'C'!AD$155</f>
        <v>3250295.6934149205</v>
      </c>
      <c r="AE65" s="40">
        <f>'C'!AE$155</f>
        <v>3250295.6934149205</v>
      </c>
      <c r="AF65" s="40">
        <f>'C'!AF$155</f>
        <v>3250295.6934149205</v>
      </c>
      <c r="AG65" s="40">
        <f>'C'!AG$155</f>
        <v>3250295.6934149205</v>
      </c>
      <c r="AH65" s="40">
        <f>'C'!AH$155</f>
        <v>3250295.6934149205</v>
      </c>
      <c r="AI65" s="40">
        <f>'C'!AI$155</f>
        <v>3250295.6934149205</v>
      </c>
    </row>
    <row r="66" spans="1:35" ht="15" x14ac:dyDescent="0.2">
      <c r="A66" s="185" t="str">
        <f>'C'!A$156</f>
        <v>Cumulative  - Outside</v>
      </c>
      <c r="B66" s="175">
        <f>'C'!B$156</f>
        <v>0</v>
      </c>
      <c r="C66" s="182">
        <f>'C'!C$156</f>
        <v>0</v>
      </c>
      <c r="E66" s="40">
        <f>'C'!E$156</f>
        <v>0</v>
      </c>
      <c r="F66" s="40">
        <f>'C'!F$156</f>
        <v>0</v>
      </c>
      <c r="G66" s="40">
        <f>'C'!G$156</f>
        <v>0</v>
      </c>
      <c r="H66" s="40">
        <f>'C'!H$156</f>
        <v>0</v>
      </c>
      <c r="I66" s="40">
        <f>'C'!I$156</f>
        <v>0</v>
      </c>
      <c r="J66" s="40">
        <f>'C'!J$156</f>
        <v>0</v>
      </c>
      <c r="K66" s="40">
        <f>'C'!K$156</f>
        <v>0</v>
      </c>
      <c r="L66" s="40">
        <f>'C'!L$156</f>
        <v>0</v>
      </c>
      <c r="M66" s="40">
        <f>'C'!M$156</f>
        <v>0</v>
      </c>
      <c r="N66" s="40">
        <f>'C'!N$156</f>
        <v>0</v>
      </c>
      <c r="O66" s="40">
        <f>'C'!O$156</f>
        <v>0</v>
      </c>
      <c r="P66" s="40">
        <f>'C'!P$156</f>
        <v>0</v>
      </c>
      <c r="Q66" s="40">
        <f>'C'!Q$156</f>
        <v>0</v>
      </c>
      <c r="R66" s="40">
        <f>'C'!R$156</f>
        <v>0</v>
      </c>
      <c r="S66" s="40">
        <f>'C'!S$156</f>
        <v>0</v>
      </c>
      <c r="T66" s="40">
        <f>'C'!T$156</f>
        <v>0</v>
      </c>
      <c r="U66" s="40">
        <f>'C'!U$156</f>
        <v>0</v>
      </c>
      <c r="V66" s="40">
        <f>'C'!V$156</f>
        <v>0</v>
      </c>
      <c r="W66" s="40">
        <f>'C'!W$156</f>
        <v>0</v>
      </c>
      <c r="X66" s="40">
        <f>'C'!X$156</f>
        <v>0</v>
      </c>
      <c r="Y66" s="40">
        <f>'C'!Y$156</f>
        <v>0</v>
      </c>
      <c r="Z66" s="40">
        <f>'C'!Z$156</f>
        <v>0</v>
      </c>
      <c r="AA66" s="40">
        <f>'C'!AA$156</f>
        <v>0</v>
      </c>
      <c r="AB66" s="40">
        <f>'C'!AB$156</f>
        <v>0</v>
      </c>
      <c r="AC66" s="40">
        <f>'C'!AC$156</f>
        <v>0</v>
      </c>
      <c r="AD66" s="40">
        <f>'C'!AD$156</f>
        <v>0</v>
      </c>
      <c r="AE66" s="40">
        <f>'C'!AE$156</f>
        <v>0</v>
      </c>
      <c r="AF66" s="40">
        <f>'C'!AF$156</f>
        <v>0</v>
      </c>
      <c r="AG66" s="40">
        <f>'C'!AG$156</f>
        <v>0</v>
      </c>
      <c r="AH66" s="40">
        <f>'C'!AH$156</f>
        <v>0</v>
      </c>
      <c r="AI66" s="40">
        <f>'C'!AI$156</f>
        <v>0</v>
      </c>
    </row>
    <row r="67" spans="1:35" ht="15" x14ac:dyDescent="0.2">
      <c r="A67" s="185" t="str">
        <f>'C'!A$157</f>
        <v>Local Investment Risk (Debt + Equity)</v>
      </c>
      <c r="B67" s="175">
        <f>'C'!B$157</f>
        <v>0</v>
      </c>
      <c r="C67" s="182">
        <f>'C'!C$157</f>
        <v>1554000</v>
      </c>
      <c r="E67" s="40">
        <f>'C'!E$157</f>
        <v>0</v>
      </c>
      <c r="F67" s="40">
        <f>'C'!F$157</f>
        <v>0</v>
      </c>
      <c r="G67" s="40">
        <f>'C'!G$157</f>
        <v>0</v>
      </c>
      <c r="H67" s="40">
        <f>'C'!H$157</f>
        <v>0</v>
      </c>
      <c r="I67" s="40">
        <f>'C'!I$157</f>
        <v>0</v>
      </c>
      <c r="J67" s="40">
        <f>'C'!J$157</f>
        <v>0</v>
      </c>
      <c r="K67" s="40">
        <f>'C'!K$157</f>
        <v>0</v>
      </c>
      <c r="L67" s="40">
        <f>'C'!L$157</f>
        <v>0</v>
      </c>
      <c r="M67" s="40">
        <f>'C'!M$157</f>
        <v>0</v>
      </c>
      <c r="N67" s="40">
        <f>'C'!N$157</f>
        <v>0</v>
      </c>
      <c r="O67" s="40">
        <f>'C'!O$157</f>
        <v>0</v>
      </c>
      <c r="P67" s="40">
        <f>'C'!P$157</f>
        <v>0</v>
      </c>
      <c r="Q67" s="40">
        <f>'C'!Q$157</f>
        <v>0</v>
      </c>
      <c r="R67" s="40">
        <f>'C'!R$157</f>
        <v>0</v>
      </c>
      <c r="S67" s="40">
        <f>'C'!S$157</f>
        <v>0</v>
      </c>
      <c r="T67" s="40">
        <f>'C'!T$157</f>
        <v>0</v>
      </c>
      <c r="U67" s="40">
        <f>'C'!U$157</f>
        <v>0</v>
      </c>
      <c r="V67" s="40">
        <f>'C'!V$157</f>
        <v>0</v>
      </c>
      <c r="W67" s="40">
        <f>'C'!W$157</f>
        <v>0</v>
      </c>
      <c r="X67" s="40">
        <f>'C'!X$157</f>
        <v>0</v>
      </c>
      <c r="Y67" s="40">
        <f>'C'!Y$157</f>
        <v>0</v>
      </c>
      <c r="Z67" s="40">
        <f>'C'!Z$157</f>
        <v>0</v>
      </c>
      <c r="AA67" s="40">
        <f>'C'!AA$157</f>
        <v>0</v>
      </c>
      <c r="AB67" s="40">
        <f>'C'!AB$157</f>
        <v>0</v>
      </c>
      <c r="AC67" s="40">
        <f>'C'!AC$157</f>
        <v>0</v>
      </c>
      <c r="AD67" s="40">
        <f>'C'!AD$157</f>
        <v>0</v>
      </c>
      <c r="AE67" s="40">
        <f>'C'!AE$157</f>
        <v>0</v>
      </c>
      <c r="AF67" s="40">
        <f>'C'!AF$157</f>
        <v>0</v>
      </c>
      <c r="AG67" s="40">
        <f>'C'!AG$157</f>
        <v>0</v>
      </c>
      <c r="AH67" s="40">
        <f>'C'!AH$157</f>
        <v>0</v>
      </c>
      <c r="AI67" s="40">
        <f>'C'!AI$157</f>
        <v>0</v>
      </c>
    </row>
    <row r="68" spans="1:35" ht="15" x14ac:dyDescent="0.2">
      <c r="A68" s="185" t="str">
        <f>'C'!A$158</f>
        <v>Outside Investment Risk (Debt + Equity)</v>
      </c>
      <c r="B68" s="175">
        <f>'C'!B$158</f>
        <v>0</v>
      </c>
      <c r="C68" s="182">
        <f>'C'!C$158</f>
        <v>0</v>
      </c>
      <c r="E68" s="40">
        <f>'C'!E$158</f>
        <v>0</v>
      </c>
      <c r="F68" s="40">
        <f>'C'!F$158</f>
        <v>0</v>
      </c>
      <c r="G68" s="40">
        <f>'C'!G$158</f>
        <v>0</v>
      </c>
      <c r="H68" s="40">
        <f>'C'!H$158</f>
        <v>0</v>
      </c>
      <c r="I68" s="40">
        <f>'C'!I$158</f>
        <v>0</v>
      </c>
      <c r="J68" s="40">
        <f>'C'!J$158</f>
        <v>0</v>
      </c>
      <c r="K68" s="40">
        <f>'C'!K$158</f>
        <v>0</v>
      </c>
      <c r="L68" s="40">
        <f>'C'!L$158</f>
        <v>0</v>
      </c>
      <c r="M68" s="40">
        <f>'C'!M$158</f>
        <v>0</v>
      </c>
      <c r="N68" s="40">
        <f>'C'!N$158</f>
        <v>0</v>
      </c>
      <c r="O68" s="40">
        <f>'C'!O$158</f>
        <v>0</v>
      </c>
      <c r="P68" s="40">
        <f>'C'!P$158</f>
        <v>0</v>
      </c>
      <c r="Q68" s="40">
        <f>'C'!Q$158</f>
        <v>0</v>
      </c>
      <c r="R68" s="40">
        <f>'C'!R$158</f>
        <v>0</v>
      </c>
      <c r="S68" s="40">
        <f>'C'!S$158</f>
        <v>0</v>
      </c>
      <c r="T68" s="40">
        <f>'C'!T$158</f>
        <v>0</v>
      </c>
      <c r="U68" s="40">
        <f>'C'!U$158</f>
        <v>0</v>
      </c>
      <c r="V68" s="40">
        <f>'C'!V$158</f>
        <v>0</v>
      </c>
      <c r="W68" s="40">
        <f>'C'!W$158</f>
        <v>0</v>
      </c>
      <c r="X68" s="40">
        <f>'C'!X$158</f>
        <v>0</v>
      </c>
      <c r="Y68" s="40">
        <f>'C'!Y$158</f>
        <v>0</v>
      </c>
      <c r="Z68" s="40">
        <f>'C'!Z$158</f>
        <v>0</v>
      </c>
      <c r="AA68" s="40">
        <f>'C'!AA$158</f>
        <v>0</v>
      </c>
      <c r="AB68" s="40">
        <f>'C'!AB$158</f>
        <v>0</v>
      </c>
      <c r="AC68" s="40">
        <f>'C'!AC$158</f>
        <v>0</v>
      </c>
      <c r="AD68" s="40">
        <f>'C'!AD$158</f>
        <v>0</v>
      </c>
      <c r="AE68" s="40">
        <f>'C'!AE$158</f>
        <v>0</v>
      </c>
      <c r="AF68" s="40">
        <f>'C'!AF$158</f>
        <v>0</v>
      </c>
      <c r="AG68" s="40">
        <f>'C'!AG$158</f>
        <v>0</v>
      </c>
      <c r="AH68" s="40">
        <f>'C'!AH$158</f>
        <v>0</v>
      </c>
      <c r="AI68" s="40">
        <f>'C'!AI$158</f>
        <v>0</v>
      </c>
    </row>
    <row r="70" spans="1:35" ht="18.75" thickBot="1" x14ac:dyDescent="0.3">
      <c r="A70" s="168" t="s">
        <v>164</v>
      </c>
    </row>
    <row r="71" spans="1:35" ht="23.25" x14ac:dyDescent="0.2">
      <c r="A71" s="164" t="str">
        <f>D!B$8</f>
        <v>Community Owned (non-taxable)</v>
      </c>
    </row>
    <row r="72" spans="1:35" ht="15" customHeight="1" x14ac:dyDescent="0.25">
      <c r="A72" s="172" t="str">
        <f>D!A$141</f>
        <v>Outside Economy</v>
      </c>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row>
    <row r="73" spans="1:35" ht="15" customHeight="1" x14ac:dyDescent="0.25">
      <c r="A73" s="173" t="str">
        <f>D!A$142</f>
        <v>Original Owner - Outside</v>
      </c>
      <c r="B73" s="113">
        <f>D!B$142</f>
        <v>0.06</v>
      </c>
      <c r="C73" s="182">
        <f>D!C$142</f>
        <v>0</v>
      </c>
      <c r="D73" s="181" t="str">
        <f>IF(C73=0,"",IRR(E73:AI73,B73))</f>
        <v/>
      </c>
      <c r="E73" s="40">
        <f>D!E$142</f>
        <v>0</v>
      </c>
      <c r="F73" s="40">
        <f>D!F$142</f>
        <v>0</v>
      </c>
      <c r="G73" s="40">
        <f>D!G$142</f>
        <v>0</v>
      </c>
      <c r="H73" s="40">
        <f>D!H$142</f>
        <v>0</v>
      </c>
      <c r="I73" s="40">
        <f>D!I$142</f>
        <v>0</v>
      </c>
      <c r="J73" s="40">
        <f>D!J$142</f>
        <v>0</v>
      </c>
      <c r="K73" s="40">
        <f>D!K$142</f>
        <v>0</v>
      </c>
      <c r="L73" s="40">
        <f>D!L$142</f>
        <v>0</v>
      </c>
      <c r="M73" s="40">
        <f>D!M$142</f>
        <v>0</v>
      </c>
      <c r="N73" s="40">
        <f>D!N$142</f>
        <v>0</v>
      </c>
      <c r="O73" s="40">
        <f>D!O$142</f>
        <v>0</v>
      </c>
      <c r="P73" s="40">
        <f>D!P$142</f>
        <v>0</v>
      </c>
      <c r="Q73" s="40">
        <f>D!Q$142</f>
        <v>0</v>
      </c>
      <c r="R73" s="40">
        <f>D!R$142</f>
        <v>0</v>
      </c>
      <c r="S73" s="40">
        <f>D!S$142</f>
        <v>0</v>
      </c>
      <c r="T73" s="40">
        <f>D!T$142</f>
        <v>0</v>
      </c>
      <c r="U73" s="40">
        <f>D!U$142</f>
        <v>0</v>
      </c>
      <c r="V73" s="40">
        <f>D!V$142</f>
        <v>0</v>
      </c>
      <c r="W73" s="40">
        <f>D!W$142</f>
        <v>0</v>
      </c>
      <c r="X73" s="40">
        <f>D!X$142</f>
        <v>0</v>
      </c>
      <c r="Y73" s="40">
        <f>D!Y$142</f>
        <v>0</v>
      </c>
      <c r="Z73" s="40">
        <f>D!Z$142</f>
        <v>0</v>
      </c>
      <c r="AA73" s="40">
        <f>D!AA$142</f>
        <v>0</v>
      </c>
      <c r="AB73" s="40">
        <f>D!AB$142</f>
        <v>0</v>
      </c>
      <c r="AC73" s="40">
        <f>D!AC$142</f>
        <v>0</v>
      </c>
      <c r="AD73" s="40">
        <f>D!AD$142</f>
        <v>0</v>
      </c>
      <c r="AE73" s="40">
        <f>D!AE$142</f>
        <v>0</v>
      </c>
      <c r="AF73" s="40">
        <f>D!AF$142</f>
        <v>0</v>
      </c>
      <c r="AG73" s="40">
        <f>D!AG$142</f>
        <v>0</v>
      </c>
      <c r="AH73" s="40">
        <f>D!AH$142</f>
        <v>0</v>
      </c>
      <c r="AI73" s="40">
        <f>D!AI$142</f>
        <v>0</v>
      </c>
    </row>
    <row r="74" spans="1:35" ht="15" customHeight="1" x14ac:dyDescent="0.2">
      <c r="A74" s="173" t="str">
        <f>D!A$143</f>
        <v>Offtakers Outside Economy</v>
      </c>
      <c r="B74" s="113">
        <f>D!B$143</f>
        <v>0.06</v>
      </c>
      <c r="C74" s="182">
        <f>D!C$143</f>
        <v>0</v>
      </c>
      <c r="E74" s="40">
        <f>D!E$143</f>
        <v>0</v>
      </c>
      <c r="F74" s="40">
        <f>D!F$143</f>
        <v>0</v>
      </c>
      <c r="G74" s="40">
        <f>D!G$143</f>
        <v>0</v>
      </c>
      <c r="H74" s="40">
        <f>D!H$143</f>
        <v>0</v>
      </c>
      <c r="I74" s="40">
        <f>D!I$143</f>
        <v>0</v>
      </c>
      <c r="J74" s="40">
        <f>D!J$143</f>
        <v>0</v>
      </c>
      <c r="K74" s="40">
        <f>D!K$143</f>
        <v>0</v>
      </c>
      <c r="L74" s="40">
        <f>D!L$143</f>
        <v>0</v>
      </c>
      <c r="M74" s="40">
        <f>D!M$143</f>
        <v>0</v>
      </c>
      <c r="N74" s="40">
        <f>D!N$143</f>
        <v>0</v>
      </c>
      <c r="O74" s="40">
        <f>D!O$143</f>
        <v>0</v>
      </c>
      <c r="P74" s="40">
        <f>D!P$143</f>
        <v>0</v>
      </c>
      <c r="Q74" s="40">
        <f>D!Q$143</f>
        <v>0</v>
      </c>
      <c r="R74" s="40">
        <f>D!R$143</f>
        <v>0</v>
      </c>
      <c r="S74" s="40">
        <f>D!S$143</f>
        <v>0</v>
      </c>
      <c r="T74" s="40">
        <f>D!T$143</f>
        <v>0</v>
      </c>
      <c r="U74" s="40">
        <f>D!U$143</f>
        <v>0</v>
      </c>
      <c r="V74" s="40">
        <f>D!V$143</f>
        <v>0</v>
      </c>
      <c r="W74" s="40">
        <f>D!W$143</f>
        <v>0</v>
      </c>
      <c r="X74" s="40">
        <f>D!X$143</f>
        <v>0</v>
      </c>
      <c r="Y74" s="40">
        <f>D!Y$143</f>
        <v>0</v>
      </c>
      <c r="Z74" s="40">
        <f>D!Z$143</f>
        <v>0</v>
      </c>
      <c r="AA74" s="40">
        <f>D!AA$143</f>
        <v>0</v>
      </c>
      <c r="AB74" s="40">
        <f>D!AB$143</f>
        <v>0</v>
      </c>
      <c r="AC74" s="40">
        <f>D!AC$143</f>
        <v>0</v>
      </c>
      <c r="AD74" s="40">
        <f>D!AD$143</f>
        <v>0</v>
      </c>
      <c r="AE74" s="40">
        <f>D!AE$143</f>
        <v>0</v>
      </c>
      <c r="AF74" s="40">
        <f>D!AF$143</f>
        <v>0</v>
      </c>
      <c r="AG74" s="40">
        <f>D!AG$143</f>
        <v>0</v>
      </c>
      <c r="AH74" s="40">
        <f>D!AH$143</f>
        <v>0</v>
      </c>
      <c r="AI74" s="40">
        <f>D!AI$143</f>
        <v>0</v>
      </c>
    </row>
    <row r="75" spans="1:35" ht="15" customHeight="1" x14ac:dyDescent="0.2">
      <c r="A75" s="173" t="str">
        <f>D!A$144</f>
        <v>Lender Outside Economy</v>
      </c>
      <c r="B75" s="113">
        <f>D!B$144</f>
        <v>0.06</v>
      </c>
      <c r="C75" s="182">
        <f>D!C$144</f>
        <v>0</v>
      </c>
      <c r="E75" s="40">
        <f>D!E$144</f>
        <v>0</v>
      </c>
      <c r="F75" s="40">
        <f>D!F$144</f>
        <v>0</v>
      </c>
      <c r="G75" s="40">
        <f>D!G$144</f>
        <v>0</v>
      </c>
      <c r="H75" s="40">
        <f>D!H$144</f>
        <v>0</v>
      </c>
      <c r="I75" s="40">
        <f>D!I$144</f>
        <v>0</v>
      </c>
      <c r="J75" s="40">
        <f>D!J$144</f>
        <v>0</v>
      </c>
      <c r="K75" s="40">
        <f>D!K$144</f>
        <v>0</v>
      </c>
      <c r="L75" s="40">
        <f>D!L$144</f>
        <v>0</v>
      </c>
      <c r="M75" s="40">
        <f>D!M$144</f>
        <v>0</v>
      </c>
      <c r="N75" s="40">
        <f>D!N$144</f>
        <v>0</v>
      </c>
      <c r="O75" s="40">
        <f>D!O$144</f>
        <v>0</v>
      </c>
      <c r="P75" s="40">
        <f>D!P$144</f>
        <v>0</v>
      </c>
      <c r="Q75" s="40">
        <f>D!Q$144</f>
        <v>0</v>
      </c>
      <c r="R75" s="40">
        <f>D!R$144</f>
        <v>0</v>
      </c>
      <c r="S75" s="40">
        <f>D!S$144</f>
        <v>0</v>
      </c>
      <c r="T75" s="40">
        <f>D!T$144</f>
        <v>0</v>
      </c>
      <c r="U75" s="40">
        <f>D!U$144</f>
        <v>0</v>
      </c>
      <c r="V75" s="40">
        <f>D!V$144</f>
        <v>0</v>
      </c>
      <c r="W75" s="40">
        <f>D!W$144</f>
        <v>0</v>
      </c>
      <c r="X75" s="40">
        <f>D!X$144</f>
        <v>0</v>
      </c>
      <c r="Y75" s="40">
        <f>D!Y$144</f>
        <v>0</v>
      </c>
      <c r="Z75" s="40">
        <f>D!Z$144</f>
        <v>0</v>
      </c>
      <c r="AA75" s="40">
        <f>D!AA$144</f>
        <v>0</v>
      </c>
      <c r="AB75" s="40">
        <f>D!AB$144</f>
        <v>0</v>
      </c>
      <c r="AC75" s="40">
        <f>D!AC$144</f>
        <v>0</v>
      </c>
      <c r="AD75" s="40">
        <f>D!AD$144</f>
        <v>0</v>
      </c>
      <c r="AE75" s="40">
        <f>D!AE$144</f>
        <v>0</v>
      </c>
      <c r="AF75" s="40">
        <f>D!AF$144</f>
        <v>0</v>
      </c>
      <c r="AG75" s="40">
        <f>D!AG$144</f>
        <v>0</v>
      </c>
      <c r="AH75" s="40">
        <f>D!AH$144</f>
        <v>0</v>
      </c>
      <c r="AI75" s="40">
        <f>D!AI$144</f>
        <v>0</v>
      </c>
    </row>
    <row r="76" spans="1:35" ht="15" customHeight="1" x14ac:dyDescent="0.2">
      <c r="A76" s="174" t="str">
        <f>D!A$145</f>
        <v>Local Economy</v>
      </c>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row>
    <row r="77" spans="1:35" ht="15" customHeight="1" x14ac:dyDescent="0.25">
      <c r="A77" s="173" t="str">
        <f>D!A$146</f>
        <v>Original Owner - Local</v>
      </c>
      <c r="B77" s="113">
        <f>D!B$146</f>
        <v>0.06</v>
      </c>
      <c r="C77" s="182">
        <f>D!C$146</f>
        <v>89051.121492146864</v>
      </c>
      <c r="D77" s="181">
        <f t="shared" ref="D77:D78" si="3">IF(C77=0,"",IRR(E77:AI77,B77))</f>
        <v>6.7806366049502742E-2</v>
      </c>
      <c r="E77" s="40">
        <f>D!E$146</f>
        <v>-840000</v>
      </c>
      <c r="F77" s="40">
        <f>D!F$146</f>
        <v>57068.617416305991</v>
      </c>
      <c r="G77" s="40">
        <f>D!G$146</f>
        <v>55262.944346306031</v>
      </c>
      <c r="H77" s="40">
        <f>D!H$146</f>
        <v>53451.026839563012</v>
      </c>
      <c r="I77" s="40">
        <f>D!I$146</f>
        <v>51632.59280350952</v>
      </c>
      <c r="J77" s="40">
        <f>D!J$146</f>
        <v>49807.365092901164</v>
      </c>
      <c r="K77" s="40">
        <f>D!K$146</f>
        <v>47975.061392180389</v>
      </c>
      <c r="L77" s="40">
        <f>D!L$146</f>
        <v>46135.3940951158</v>
      </c>
      <c r="M77" s="40">
        <f>D!M$146</f>
        <v>44288.070181651361</v>
      </c>
      <c r="N77" s="40">
        <f>D!N$146</f>
        <v>42432.791091899067</v>
      </c>
      <c r="O77" s="40">
        <f>D!O$146</f>
        <v>-29430.747402794434</v>
      </c>
      <c r="P77" s="40">
        <f>D!P$146</f>
        <v>38697.144668224006</v>
      </c>
      <c r="Q77" s="40">
        <f>D!Q$146</f>
        <v>36816.151339917575</v>
      </c>
      <c r="R77" s="40">
        <f>D!R$146</f>
        <v>34925.950573422248</v>
      </c>
      <c r="S77" s="40">
        <f>D!S$146</f>
        <v>33026.214114692804</v>
      </c>
      <c r="T77" s="40">
        <f>D!T$146</f>
        <v>31116.607349854661</v>
      </c>
      <c r="U77" s="40">
        <f>D!U$146</f>
        <v>158929.87174087678</v>
      </c>
      <c r="V77" s="40">
        <f>D!V$146</f>
        <v>156999.49433931994</v>
      </c>
      <c r="W77" s="40">
        <f>D!W$146</f>
        <v>155058.20313348784</v>
      </c>
      <c r="X77" s="40">
        <f>D!X$146</f>
        <v>153105.63655501575</v>
      </c>
      <c r="Y77" s="40">
        <f>D!Y$146</f>
        <v>81141.425900218834</v>
      </c>
      <c r="Z77" s="40">
        <f>D!Z$146</f>
        <v>199640.77631669166</v>
      </c>
      <c r="AA77" s="40">
        <f>D!AA$146</f>
        <v>202074.58669310779</v>
      </c>
      <c r="AB77" s="40">
        <f>D!AB$146</f>
        <v>204543.14502227193</v>
      </c>
      <c r="AC77" s="40">
        <f>D!AC$146</f>
        <v>207046.85250259395</v>
      </c>
      <c r="AD77" s="40">
        <f>D!AD$146</f>
        <v>209586.11378994066</v>
      </c>
      <c r="AE77" s="40">
        <f>D!AE$146</f>
        <v>0</v>
      </c>
      <c r="AF77" s="40">
        <f>D!AF$146</f>
        <v>0</v>
      </c>
      <c r="AG77" s="40">
        <f>D!AG$146</f>
        <v>0</v>
      </c>
      <c r="AH77" s="40">
        <f>D!AH$146</f>
        <v>0</v>
      </c>
      <c r="AI77" s="40">
        <f>D!AI$146</f>
        <v>0</v>
      </c>
    </row>
    <row r="78" spans="1:35" ht="15" customHeight="1" x14ac:dyDescent="0.25">
      <c r="A78" s="173" t="str">
        <f>D!A$147</f>
        <v>Local Owner after Flip</v>
      </c>
      <c r="B78" s="113">
        <f>D!B$147</f>
        <v>0.06</v>
      </c>
      <c r="C78" s="182">
        <f>D!C$147</f>
        <v>0</v>
      </c>
      <c r="D78" s="181" t="str">
        <f t="shared" si="3"/>
        <v/>
      </c>
      <c r="E78" s="40">
        <f>D!E$147</f>
        <v>0</v>
      </c>
      <c r="F78" s="40">
        <f>D!F$147</f>
        <v>0</v>
      </c>
      <c r="G78" s="40">
        <f>D!G$147</f>
        <v>0</v>
      </c>
      <c r="H78" s="40">
        <f>D!H$147</f>
        <v>0</v>
      </c>
      <c r="I78" s="40">
        <f>D!I$147</f>
        <v>0</v>
      </c>
      <c r="J78" s="40">
        <f>D!J$147</f>
        <v>0</v>
      </c>
      <c r="K78" s="40">
        <f>D!K$147</f>
        <v>0</v>
      </c>
      <c r="L78" s="40">
        <f>D!L$147</f>
        <v>0</v>
      </c>
      <c r="M78" s="40">
        <f>D!M$147</f>
        <v>0</v>
      </c>
      <c r="N78" s="40">
        <f>D!N$147</f>
        <v>0</v>
      </c>
      <c r="O78" s="40">
        <f>D!O$147</f>
        <v>0</v>
      </c>
      <c r="P78" s="40">
        <f>D!P$147</f>
        <v>0</v>
      </c>
      <c r="Q78" s="40">
        <f>D!Q$147</f>
        <v>0</v>
      </c>
      <c r="R78" s="40">
        <f>D!R$147</f>
        <v>0</v>
      </c>
      <c r="S78" s="40">
        <f>D!S$147</f>
        <v>0</v>
      </c>
      <c r="T78" s="40">
        <f>D!T$147</f>
        <v>0</v>
      </c>
      <c r="U78" s="40">
        <f>D!U$147</f>
        <v>0</v>
      </c>
      <c r="V78" s="40">
        <f>D!V$147</f>
        <v>0</v>
      </c>
      <c r="W78" s="40">
        <f>D!W$147</f>
        <v>0</v>
      </c>
      <c r="X78" s="40">
        <f>D!X$147</f>
        <v>0</v>
      </c>
      <c r="Y78" s="40">
        <f>D!Y$147</f>
        <v>0</v>
      </c>
      <c r="Z78" s="40">
        <f>D!Z$147</f>
        <v>0</v>
      </c>
      <c r="AA78" s="40">
        <f>D!AA$147</f>
        <v>0</v>
      </c>
      <c r="AB78" s="40">
        <f>D!AB$147</f>
        <v>0</v>
      </c>
      <c r="AC78" s="40">
        <f>D!AC$147</f>
        <v>0</v>
      </c>
      <c r="AD78" s="40">
        <f>D!AD$147</f>
        <v>0</v>
      </c>
      <c r="AE78" s="40">
        <f>D!AE$147</f>
        <v>0</v>
      </c>
      <c r="AF78" s="40">
        <f>D!AF$147</f>
        <v>0</v>
      </c>
      <c r="AG78" s="40">
        <f>D!AG$147</f>
        <v>0</v>
      </c>
      <c r="AH78" s="40">
        <f>D!AH$147</f>
        <v>0</v>
      </c>
      <c r="AI78" s="40">
        <f>D!AI$147</f>
        <v>0</v>
      </c>
    </row>
    <row r="79" spans="1:35" ht="15" customHeight="1" x14ac:dyDescent="0.2">
      <c r="A79" s="173" t="str">
        <f>D!A$148</f>
        <v>Offtakers Local Economy</v>
      </c>
      <c r="B79" s="113">
        <f>D!B$148</f>
        <v>0.06</v>
      </c>
      <c r="C79" s="182">
        <f>D!C$148</f>
        <v>385230.13359343511</v>
      </c>
      <c r="E79" s="40">
        <f>D!E$148</f>
        <v>0</v>
      </c>
      <c r="F79" s="40">
        <f>D!F$148</f>
        <v>26214.3</v>
      </c>
      <c r="G79" s="40">
        <f>D!G$148</f>
        <v>26604.893070000002</v>
      </c>
      <c r="H79" s="40">
        <f>D!H$148</f>
        <v>27001.305976743002</v>
      </c>
      <c r="I79" s="40">
        <f>D!I$148</f>
        <v>27403.625435796472</v>
      </c>
      <c r="J79" s="40">
        <f>D!J$148</f>
        <v>27811.939454789841</v>
      </c>
      <c r="K79" s="40">
        <f>D!K$148</f>
        <v>28226.337352666211</v>
      </c>
      <c r="L79" s="40">
        <f>D!L$148</f>
        <v>28646.90977922094</v>
      </c>
      <c r="M79" s="40">
        <f>D!M$148</f>
        <v>29073.74873493132</v>
      </c>
      <c r="N79" s="40">
        <f>D!N$148</f>
        <v>29506.9475910818</v>
      </c>
      <c r="O79" s="40">
        <f>D!O$148</f>
        <v>29946.60111018892</v>
      </c>
      <c r="P79" s="40">
        <f>D!P$148</f>
        <v>30392.805466730733</v>
      </c>
      <c r="Q79" s="40">
        <f>D!Q$148</f>
        <v>30845.65826818502</v>
      </c>
      <c r="R79" s="40">
        <f>D!R$148</f>
        <v>31305.25857638098</v>
      </c>
      <c r="S79" s="40">
        <f>D!S$148</f>
        <v>31771.70692916905</v>
      </c>
      <c r="T79" s="40">
        <f>D!T$148</f>
        <v>32245.10536241368</v>
      </c>
      <c r="U79" s="40">
        <f>D!U$148</f>
        <v>32725.557432313628</v>
      </c>
      <c r="V79" s="40">
        <f>D!V$148</f>
        <v>33213.168238055114</v>
      </c>
      <c r="W79" s="40">
        <f>D!W$148</f>
        <v>33708.044444802137</v>
      </c>
      <c r="X79" s="40">
        <f>D!X$148</f>
        <v>34210.294307029682</v>
      </c>
      <c r="Y79" s="40">
        <f>D!Y$148</f>
        <v>34720.027692204414</v>
      </c>
      <c r="Z79" s="40">
        <f>D!Z$148</f>
        <v>35237.356104818267</v>
      </c>
      <c r="AA79" s="40">
        <f>D!AA$148</f>
        <v>35762.392710780055</v>
      </c>
      <c r="AB79" s="40">
        <f>D!AB$148</f>
        <v>36295.252362170686</v>
      </c>
      <c r="AC79" s="40">
        <f>D!AC$148</f>
        <v>36836.05162236702</v>
      </c>
      <c r="AD79" s="40">
        <f>D!AD$148</f>
        <v>37384.908791540285</v>
      </c>
      <c r="AE79" s="40">
        <f>D!AE$148</f>
        <v>0</v>
      </c>
      <c r="AF79" s="40">
        <f>D!AF$148</f>
        <v>0</v>
      </c>
      <c r="AG79" s="40">
        <f>D!AG$148</f>
        <v>0</v>
      </c>
      <c r="AH79" s="40">
        <f>D!AH$148</f>
        <v>0</v>
      </c>
      <c r="AI79" s="40">
        <f>D!AI$148</f>
        <v>0</v>
      </c>
    </row>
    <row r="80" spans="1:35" ht="15" customHeight="1" x14ac:dyDescent="0.2">
      <c r="A80" s="173" t="str">
        <f>D!A$149</f>
        <v>Lender Local Economy</v>
      </c>
      <c r="B80" s="113">
        <f>D!B$149</f>
        <v>0.06</v>
      </c>
      <c r="C80" s="182">
        <f>D!C$149</f>
        <v>493965.81249489583</v>
      </c>
      <c r="E80" s="40">
        <f>D!E$149</f>
        <v>0</v>
      </c>
      <c r="F80" s="40">
        <f>D!F$149</f>
        <v>75600</v>
      </c>
      <c r="G80" s="40">
        <f>D!G$149</f>
        <v>72352.015044978354</v>
      </c>
      <c r="H80" s="40">
        <f>D!H$149</f>
        <v>68909.150992655414</v>
      </c>
      <c r="I80" s="40">
        <f>D!I$149</f>
        <v>65259.715097193104</v>
      </c>
      <c r="J80" s="40">
        <f>D!J$149</f>
        <v>61391.313048003045</v>
      </c>
      <c r="K80" s="40">
        <f>D!K$149</f>
        <v>57290.806875861585</v>
      </c>
      <c r="L80" s="40">
        <f>D!L$149</f>
        <v>52944.270333391643</v>
      </c>
      <c r="M80" s="40">
        <f>D!M$149</f>
        <v>48336.941598373502</v>
      </c>
      <c r="N80" s="40">
        <f>D!N$149</f>
        <v>43453.173139254264</v>
      </c>
      <c r="O80" s="40">
        <f>D!O$149</f>
        <v>38276.378572587877</v>
      </c>
      <c r="P80" s="40">
        <f>D!P$149</f>
        <v>32788.976331921505</v>
      </c>
      <c r="Q80" s="40">
        <f>D!Q$149</f>
        <v>26972.32995681516</v>
      </c>
      <c r="R80" s="40">
        <f>D!R$149</f>
        <v>20806.684799202427</v>
      </c>
      <c r="S80" s="40">
        <f>D!S$149</f>
        <v>14271.100932132931</v>
      </c>
      <c r="T80" s="40">
        <f>D!T$149</f>
        <v>7343.3820330392673</v>
      </c>
      <c r="U80" s="40">
        <f>D!U$149</f>
        <v>0</v>
      </c>
      <c r="V80" s="40">
        <f>D!V$149</f>
        <v>0</v>
      </c>
      <c r="W80" s="40">
        <f>D!W$149</f>
        <v>0</v>
      </c>
      <c r="X80" s="40">
        <f>D!X$149</f>
        <v>0</v>
      </c>
      <c r="Y80" s="40">
        <f>D!Y$149</f>
        <v>0</v>
      </c>
      <c r="Z80" s="40">
        <f>D!Z$149</f>
        <v>0</v>
      </c>
      <c r="AA80" s="40">
        <f>D!AA$149</f>
        <v>0</v>
      </c>
      <c r="AB80" s="40">
        <f>D!AB$149</f>
        <v>0</v>
      </c>
      <c r="AC80" s="40">
        <f>D!AC$149</f>
        <v>0</v>
      </c>
      <c r="AD80" s="40">
        <f>D!AD$149</f>
        <v>0</v>
      </c>
      <c r="AE80" s="40">
        <f>D!AE$149</f>
        <v>0</v>
      </c>
      <c r="AF80" s="40">
        <f>D!AF$149</f>
        <v>0</v>
      </c>
      <c r="AG80" s="40">
        <f>D!AG$149</f>
        <v>0</v>
      </c>
      <c r="AH80" s="40">
        <f>D!AH$149</f>
        <v>0</v>
      </c>
      <c r="AI80" s="40">
        <f>D!AI$149</f>
        <v>0</v>
      </c>
    </row>
    <row r="81" spans="1:35" ht="15" customHeight="1" x14ac:dyDescent="0.2">
      <c r="A81" s="173" t="str">
        <f>D!A$150</f>
        <v>Community PILOT / Lease</v>
      </c>
      <c r="B81" s="113">
        <f>D!B$150</f>
        <v>0.06</v>
      </c>
      <c r="C81" s="182">
        <f>D!C$150</f>
        <v>127833.56158268398</v>
      </c>
      <c r="E81" s="40">
        <f>D!E$150</f>
        <v>0</v>
      </c>
      <c r="F81" s="40">
        <f>D!F$150</f>
        <v>10000</v>
      </c>
      <c r="G81" s="40">
        <f>D!G$150</f>
        <v>10000</v>
      </c>
      <c r="H81" s="40">
        <f>D!H$150</f>
        <v>10000</v>
      </c>
      <c r="I81" s="40">
        <f>D!I$150</f>
        <v>10000</v>
      </c>
      <c r="J81" s="40">
        <f>D!J$150</f>
        <v>10000</v>
      </c>
      <c r="K81" s="40">
        <f>D!K$150</f>
        <v>10000</v>
      </c>
      <c r="L81" s="40">
        <f>D!L$150</f>
        <v>10000</v>
      </c>
      <c r="M81" s="40">
        <f>D!M$150</f>
        <v>10000</v>
      </c>
      <c r="N81" s="40">
        <f>D!N$150</f>
        <v>10000</v>
      </c>
      <c r="O81" s="40">
        <f>D!O$150</f>
        <v>10000</v>
      </c>
      <c r="P81" s="40">
        <f>D!P$150</f>
        <v>10000</v>
      </c>
      <c r="Q81" s="40">
        <f>D!Q$150</f>
        <v>10000</v>
      </c>
      <c r="R81" s="40">
        <f>D!R$150</f>
        <v>10000</v>
      </c>
      <c r="S81" s="40">
        <f>D!S$150</f>
        <v>10000</v>
      </c>
      <c r="T81" s="40">
        <f>D!T$150</f>
        <v>10000</v>
      </c>
      <c r="U81" s="40">
        <f>D!U$150</f>
        <v>10000</v>
      </c>
      <c r="V81" s="40">
        <f>D!V$150</f>
        <v>10000</v>
      </c>
      <c r="W81" s="40">
        <f>D!W$150</f>
        <v>10000</v>
      </c>
      <c r="X81" s="40">
        <f>D!X$150</f>
        <v>10000</v>
      </c>
      <c r="Y81" s="40">
        <f>D!Y$150</f>
        <v>10000</v>
      </c>
      <c r="Z81" s="40">
        <f>D!Z$150</f>
        <v>10000</v>
      </c>
      <c r="AA81" s="40">
        <f>D!AA$150</f>
        <v>10000</v>
      </c>
      <c r="AB81" s="40">
        <f>D!AB$150</f>
        <v>10000</v>
      </c>
      <c r="AC81" s="40">
        <f>D!AC$150</f>
        <v>10000</v>
      </c>
      <c r="AD81" s="40">
        <f>D!AD$150</f>
        <v>10000</v>
      </c>
      <c r="AE81" s="40">
        <f>D!AE$150</f>
        <v>0</v>
      </c>
      <c r="AF81" s="40">
        <f>D!AF$150</f>
        <v>0</v>
      </c>
      <c r="AG81" s="40">
        <f>D!AG$150</f>
        <v>0</v>
      </c>
      <c r="AH81" s="40">
        <f>D!AH$150</f>
        <v>0</v>
      </c>
      <c r="AI81" s="40">
        <f>D!AI$150</f>
        <v>0</v>
      </c>
    </row>
    <row r="82" spans="1:35" ht="15" customHeight="1" x14ac:dyDescent="0.2">
      <c r="A82" s="2"/>
      <c r="B82" s="2"/>
      <c r="C82" s="9"/>
      <c r="E82" s="2"/>
      <c r="F82" s="2"/>
      <c r="G82" s="2"/>
      <c r="H82" s="2"/>
      <c r="I82" s="2"/>
      <c r="J82" s="2"/>
      <c r="K82" s="2"/>
      <c r="L82" s="2"/>
      <c r="M82" s="2"/>
      <c r="N82" s="2"/>
      <c r="O82" s="2"/>
      <c r="P82" s="2"/>
      <c r="Q82" s="2"/>
      <c r="R82" s="2"/>
      <c r="S82" s="2"/>
      <c r="T82" s="2"/>
      <c r="U82" s="26"/>
      <c r="V82" s="2"/>
      <c r="W82" s="2"/>
      <c r="X82" s="2"/>
      <c r="Y82" s="2"/>
      <c r="Z82" s="2"/>
      <c r="AA82" s="2"/>
      <c r="AB82" s="2"/>
      <c r="AC82" s="2"/>
      <c r="AD82" s="2"/>
      <c r="AE82" s="2"/>
      <c r="AF82" s="2"/>
      <c r="AG82" s="2"/>
      <c r="AH82" s="2"/>
      <c r="AI82" s="2"/>
    </row>
    <row r="83" spans="1:35" ht="15" customHeight="1" x14ac:dyDescent="0.25">
      <c r="A83" s="186" t="str">
        <f>D!A$152</f>
        <v>Total</v>
      </c>
      <c r="B83" s="176"/>
      <c r="C83" s="182">
        <f>D!C$152</f>
        <v>1096080.6291631612</v>
      </c>
      <c r="E83" s="40">
        <f>D!E$152</f>
        <v>-840000</v>
      </c>
      <c r="F83" s="40">
        <f>D!F$152</f>
        <v>168882.91741630598</v>
      </c>
      <c r="G83" s="40">
        <f>D!G$152</f>
        <v>164219.85246128438</v>
      </c>
      <c r="H83" s="40">
        <f>D!H$152</f>
        <v>159361.48380896141</v>
      </c>
      <c r="I83" s="40">
        <f>D!I$152</f>
        <v>154295.93333649909</v>
      </c>
      <c r="J83" s="40">
        <f>D!J$152</f>
        <v>149010.61759569406</v>
      </c>
      <c r="K83" s="40">
        <f>D!K$152</f>
        <v>143492.20562070818</v>
      </c>
      <c r="L83" s="40">
        <f>D!L$152</f>
        <v>137726.57420772838</v>
      </c>
      <c r="M83" s="40">
        <f>D!M$152</f>
        <v>131698.76051495617</v>
      </c>
      <c r="N83" s="40">
        <f>D!N$152</f>
        <v>125392.91182223512</v>
      </c>
      <c r="O83" s="40">
        <f>D!O$152</f>
        <v>48792.23227998236</v>
      </c>
      <c r="P83" s="40">
        <f>D!P$152</f>
        <v>111878.92646687623</v>
      </c>
      <c r="Q83" s="40">
        <f>D!Q$152</f>
        <v>104634.13956491776</v>
      </c>
      <c r="R83" s="40">
        <f>D!R$152</f>
        <v>97037.893949005651</v>
      </c>
      <c r="S83" s="40">
        <f>D!S$152</f>
        <v>89069.021975994779</v>
      </c>
      <c r="T83" s="40">
        <f>D!T$152</f>
        <v>80705.094745307608</v>
      </c>
      <c r="U83" s="40">
        <f>D!U$152</f>
        <v>201655.42917319041</v>
      </c>
      <c r="V83" s="40">
        <f>D!V$152</f>
        <v>200212.66257737504</v>
      </c>
      <c r="W83" s="40">
        <f>D!W$152</f>
        <v>198766.24757828997</v>
      </c>
      <c r="X83" s="40">
        <f>D!X$152</f>
        <v>197315.93086204544</v>
      </c>
      <c r="Y83" s="40">
        <f>D!Y$152</f>
        <v>125861.45359242325</v>
      </c>
      <c r="Z83" s="40">
        <f>D!Z$152</f>
        <v>244878.13242150992</v>
      </c>
      <c r="AA83" s="40">
        <f>D!AA$152</f>
        <v>247836.97940388785</v>
      </c>
      <c r="AB83" s="40">
        <f>D!AB$152</f>
        <v>250838.39738444262</v>
      </c>
      <c r="AC83" s="40">
        <f>D!AC$152</f>
        <v>253882.90412496097</v>
      </c>
      <c r="AD83" s="40">
        <f>D!AD$152</f>
        <v>256971.02258148094</v>
      </c>
      <c r="AE83" s="40">
        <f>D!AE$152</f>
        <v>0</v>
      </c>
      <c r="AF83" s="40">
        <f>D!AF$152</f>
        <v>0</v>
      </c>
      <c r="AG83" s="40">
        <f>D!AG$152</f>
        <v>0</v>
      </c>
      <c r="AH83" s="40">
        <f>D!AH$152</f>
        <v>0</v>
      </c>
      <c r="AI83" s="40">
        <f>D!AI$152</f>
        <v>0</v>
      </c>
    </row>
    <row r="84" spans="1:35" ht="15" customHeight="1" x14ac:dyDescent="0.2">
      <c r="A84" s="185" t="str">
        <f>D!A$153</f>
        <v>Local Economy</v>
      </c>
      <c r="B84" s="175">
        <f>D!B$153</f>
        <v>0.06</v>
      </c>
      <c r="C84" s="182">
        <f>D!C$153</f>
        <v>1096080.6291631612</v>
      </c>
      <c r="E84" s="40">
        <f>D!E$153</f>
        <v>-840000</v>
      </c>
      <c r="F84" s="40">
        <f>D!F$153</f>
        <v>168882.91741630598</v>
      </c>
      <c r="G84" s="40">
        <f>D!G$153</f>
        <v>164219.85246128438</v>
      </c>
      <c r="H84" s="40">
        <f>D!H$153</f>
        <v>159361.48380896141</v>
      </c>
      <c r="I84" s="40">
        <f>D!I$153</f>
        <v>154295.93333649909</v>
      </c>
      <c r="J84" s="40">
        <f>D!J$153</f>
        <v>149010.61759569406</v>
      </c>
      <c r="K84" s="40">
        <f>D!K$153</f>
        <v>143492.20562070818</v>
      </c>
      <c r="L84" s="40">
        <f>D!L$153</f>
        <v>137726.57420772838</v>
      </c>
      <c r="M84" s="40">
        <f>D!M$153</f>
        <v>131698.76051495617</v>
      </c>
      <c r="N84" s="40">
        <f>D!N$153</f>
        <v>125392.91182223512</v>
      </c>
      <c r="O84" s="40">
        <f>D!O$153</f>
        <v>48792.23227998236</v>
      </c>
      <c r="P84" s="40">
        <f>D!P$153</f>
        <v>111878.92646687623</v>
      </c>
      <c r="Q84" s="40">
        <f>D!Q$153</f>
        <v>104634.13956491776</v>
      </c>
      <c r="R84" s="40">
        <f>D!R$153</f>
        <v>97037.893949005651</v>
      </c>
      <c r="S84" s="40">
        <f>D!S$153</f>
        <v>89069.021975994779</v>
      </c>
      <c r="T84" s="40">
        <f>D!T$153</f>
        <v>80705.094745307608</v>
      </c>
      <c r="U84" s="40">
        <f>D!U$153</f>
        <v>201655.42917319041</v>
      </c>
      <c r="V84" s="40">
        <f>D!V$153</f>
        <v>200212.66257737504</v>
      </c>
      <c r="W84" s="40">
        <f>D!W$153</f>
        <v>198766.24757828997</v>
      </c>
      <c r="X84" s="40">
        <f>D!X$153</f>
        <v>197315.93086204544</v>
      </c>
      <c r="Y84" s="40">
        <f>D!Y$153</f>
        <v>125861.45359242325</v>
      </c>
      <c r="Z84" s="40">
        <f>D!Z$153</f>
        <v>244878.13242150992</v>
      </c>
      <c r="AA84" s="40">
        <f>D!AA$153</f>
        <v>247836.97940388785</v>
      </c>
      <c r="AB84" s="40">
        <f>D!AB$153</f>
        <v>250838.39738444262</v>
      </c>
      <c r="AC84" s="40">
        <f>D!AC$153</f>
        <v>253882.90412496097</v>
      </c>
      <c r="AD84" s="40">
        <f>D!AD$153</f>
        <v>256971.02258148094</v>
      </c>
      <c r="AE84" s="40">
        <f>D!AE$153</f>
        <v>0</v>
      </c>
      <c r="AF84" s="40">
        <f>D!AF$153</f>
        <v>0</v>
      </c>
      <c r="AG84" s="40">
        <f>D!AG$153</f>
        <v>0</v>
      </c>
      <c r="AH84" s="40">
        <f>D!AH$153</f>
        <v>0</v>
      </c>
      <c r="AI84" s="40">
        <f>D!AI$153</f>
        <v>0</v>
      </c>
    </row>
    <row r="85" spans="1:35" ht="15" customHeight="1" x14ac:dyDescent="0.2">
      <c r="A85" s="185" t="str">
        <f>D!A$154</f>
        <v>Outside Economy</v>
      </c>
      <c r="B85" s="175">
        <f>D!B$154</f>
        <v>0.06</v>
      </c>
      <c r="C85" s="182">
        <f>D!C$154</f>
        <v>0</v>
      </c>
      <c r="E85" s="40">
        <f>D!E$154</f>
        <v>0</v>
      </c>
      <c r="F85" s="40">
        <f>D!F$154</f>
        <v>0</v>
      </c>
      <c r="G85" s="40">
        <f>D!G$154</f>
        <v>0</v>
      </c>
      <c r="H85" s="40">
        <f>D!H$154</f>
        <v>0</v>
      </c>
      <c r="I85" s="40">
        <f>D!I$154</f>
        <v>0</v>
      </c>
      <c r="J85" s="40">
        <f>D!J$154</f>
        <v>0</v>
      </c>
      <c r="K85" s="40">
        <f>D!K$154</f>
        <v>0</v>
      </c>
      <c r="L85" s="40">
        <f>D!L$154</f>
        <v>0</v>
      </c>
      <c r="M85" s="40">
        <f>D!M$154</f>
        <v>0</v>
      </c>
      <c r="N85" s="40">
        <f>D!N$154</f>
        <v>0</v>
      </c>
      <c r="O85" s="40">
        <f>D!O$154</f>
        <v>0</v>
      </c>
      <c r="P85" s="40">
        <f>D!P$154</f>
        <v>0</v>
      </c>
      <c r="Q85" s="40">
        <f>D!Q$154</f>
        <v>0</v>
      </c>
      <c r="R85" s="40">
        <f>D!R$154</f>
        <v>0</v>
      </c>
      <c r="S85" s="40">
        <f>D!S$154</f>
        <v>0</v>
      </c>
      <c r="T85" s="40">
        <f>D!T$154</f>
        <v>0</v>
      </c>
      <c r="U85" s="40">
        <f>D!U$154</f>
        <v>0</v>
      </c>
      <c r="V85" s="40">
        <f>D!V$154</f>
        <v>0</v>
      </c>
      <c r="W85" s="40">
        <f>D!W$154</f>
        <v>0</v>
      </c>
      <c r="X85" s="40">
        <f>D!X$154</f>
        <v>0</v>
      </c>
      <c r="Y85" s="40">
        <f>D!Y$154</f>
        <v>0</v>
      </c>
      <c r="Z85" s="40">
        <f>D!Z$154</f>
        <v>0</v>
      </c>
      <c r="AA85" s="40">
        <f>D!AA$154</f>
        <v>0</v>
      </c>
      <c r="AB85" s="40">
        <f>D!AB$154</f>
        <v>0</v>
      </c>
      <c r="AC85" s="40">
        <f>D!AC$154</f>
        <v>0</v>
      </c>
      <c r="AD85" s="40">
        <f>D!AD$154</f>
        <v>0</v>
      </c>
      <c r="AE85" s="40">
        <f>D!AE$154</f>
        <v>0</v>
      </c>
      <c r="AF85" s="40">
        <f>D!AF$154</f>
        <v>0</v>
      </c>
      <c r="AG85" s="40">
        <f>D!AG$154</f>
        <v>0</v>
      </c>
      <c r="AH85" s="40">
        <f>D!AH$154</f>
        <v>0</v>
      </c>
      <c r="AI85" s="40">
        <f>D!AI$154</f>
        <v>0</v>
      </c>
    </row>
    <row r="86" spans="1:35" ht="15" customHeight="1" x14ac:dyDescent="0.2">
      <c r="A86" s="185" t="str">
        <f>D!A$155</f>
        <v>Cumulative  - Local</v>
      </c>
      <c r="B86" s="175">
        <f>D!B$155</f>
        <v>0</v>
      </c>
      <c r="C86" s="182">
        <f>D!C$155</f>
        <v>3204417.7254660632</v>
      </c>
      <c r="E86" s="40">
        <f>D!E$155</f>
        <v>-840000</v>
      </c>
      <c r="F86" s="40">
        <f>D!F$155</f>
        <v>-671117.08258369402</v>
      </c>
      <c r="G86" s="40">
        <f>D!G$155</f>
        <v>-506897.23012240964</v>
      </c>
      <c r="H86" s="40">
        <f>D!H$155</f>
        <v>-347535.74631344824</v>
      </c>
      <c r="I86" s="40">
        <f>D!I$155</f>
        <v>-193239.81297694915</v>
      </c>
      <c r="J86" s="40">
        <f>D!J$155</f>
        <v>-44229.195381255093</v>
      </c>
      <c r="K86" s="40">
        <f>D!K$155</f>
        <v>99263.010239453084</v>
      </c>
      <c r="L86" s="40">
        <f>D!L$155</f>
        <v>236989.58444718146</v>
      </c>
      <c r="M86" s="40">
        <f>D!M$155</f>
        <v>368688.34496213763</v>
      </c>
      <c r="N86" s="40">
        <f>D!N$155</f>
        <v>494081.25678437273</v>
      </c>
      <c r="O86" s="40">
        <f>D!O$155</f>
        <v>542873.48906435515</v>
      </c>
      <c r="P86" s="40">
        <f>D!P$155</f>
        <v>654752.41553123132</v>
      </c>
      <c r="Q86" s="40">
        <f>D!Q$155</f>
        <v>759386.5550961491</v>
      </c>
      <c r="R86" s="40">
        <f>D!R$155</f>
        <v>856424.44904515473</v>
      </c>
      <c r="S86" s="40">
        <f>D!S$155</f>
        <v>945493.47102114954</v>
      </c>
      <c r="T86" s="40">
        <f>D!T$155</f>
        <v>1026198.5657664571</v>
      </c>
      <c r="U86" s="40">
        <f>D!U$155</f>
        <v>1227853.9949396476</v>
      </c>
      <c r="V86" s="40">
        <f>D!V$155</f>
        <v>1428066.6575170227</v>
      </c>
      <c r="W86" s="40">
        <f>D!W$155</f>
        <v>1626832.9050953127</v>
      </c>
      <c r="X86" s="40">
        <f>D!X$155</f>
        <v>1824148.8359573581</v>
      </c>
      <c r="Y86" s="40">
        <f>D!Y$155</f>
        <v>1950010.2895497815</v>
      </c>
      <c r="Z86" s="40">
        <f>D!Z$155</f>
        <v>2194888.4219712913</v>
      </c>
      <c r="AA86" s="40">
        <f>D!AA$155</f>
        <v>2442725.4013751792</v>
      </c>
      <c r="AB86" s="40">
        <f>D!AB$155</f>
        <v>2693563.7987596216</v>
      </c>
      <c r="AC86" s="40">
        <f>D!AC$155</f>
        <v>2947446.7028845823</v>
      </c>
      <c r="AD86" s="40">
        <f>D!AD$155</f>
        <v>3204417.7254660632</v>
      </c>
      <c r="AE86" s="40">
        <f>D!AE$155</f>
        <v>3204417.7254660632</v>
      </c>
      <c r="AF86" s="40">
        <f>D!AF$155</f>
        <v>3204417.7254660632</v>
      </c>
      <c r="AG86" s="40">
        <f>D!AG$155</f>
        <v>3204417.7254660632</v>
      </c>
      <c r="AH86" s="40">
        <f>D!AH$155</f>
        <v>3204417.7254660632</v>
      </c>
      <c r="AI86" s="40">
        <f>D!AI$155</f>
        <v>3204417.7254660632</v>
      </c>
    </row>
    <row r="87" spans="1:35" ht="15" x14ac:dyDescent="0.2">
      <c r="A87" s="185" t="str">
        <f>D!A$156</f>
        <v>Cumulative  - Outside</v>
      </c>
      <c r="B87" s="175">
        <f>D!B$156</f>
        <v>0</v>
      </c>
      <c r="C87" s="182">
        <f>D!C$156</f>
        <v>0</v>
      </c>
      <c r="E87" s="40">
        <f>D!E$156</f>
        <v>0</v>
      </c>
      <c r="F87" s="40">
        <f>D!F$156</f>
        <v>0</v>
      </c>
      <c r="G87" s="40">
        <f>D!G$156</f>
        <v>0</v>
      </c>
      <c r="H87" s="40">
        <f>D!H$156</f>
        <v>0</v>
      </c>
      <c r="I87" s="40">
        <f>D!I$156</f>
        <v>0</v>
      </c>
      <c r="J87" s="40">
        <f>D!J$156</f>
        <v>0</v>
      </c>
      <c r="K87" s="40">
        <f>D!K$156</f>
        <v>0</v>
      </c>
      <c r="L87" s="40">
        <f>D!L$156</f>
        <v>0</v>
      </c>
      <c r="M87" s="40">
        <f>D!M$156</f>
        <v>0</v>
      </c>
      <c r="N87" s="40">
        <f>D!N$156</f>
        <v>0</v>
      </c>
      <c r="O87" s="40">
        <f>D!O$156</f>
        <v>0</v>
      </c>
      <c r="P87" s="40">
        <f>D!P$156</f>
        <v>0</v>
      </c>
      <c r="Q87" s="40">
        <f>D!Q$156</f>
        <v>0</v>
      </c>
      <c r="R87" s="40">
        <f>D!R$156</f>
        <v>0</v>
      </c>
      <c r="S87" s="40">
        <f>D!S$156</f>
        <v>0</v>
      </c>
      <c r="T87" s="40">
        <f>D!T$156</f>
        <v>0</v>
      </c>
      <c r="U87" s="40">
        <f>D!U$156</f>
        <v>0</v>
      </c>
      <c r="V87" s="40">
        <f>D!V$156</f>
        <v>0</v>
      </c>
      <c r="W87" s="40">
        <f>D!W$156</f>
        <v>0</v>
      </c>
      <c r="X87" s="40">
        <f>D!X$156</f>
        <v>0</v>
      </c>
      <c r="Y87" s="40">
        <f>D!Y$156</f>
        <v>0</v>
      </c>
      <c r="Z87" s="40">
        <f>D!Z$156</f>
        <v>0</v>
      </c>
      <c r="AA87" s="40">
        <f>D!AA$156</f>
        <v>0</v>
      </c>
      <c r="AB87" s="40">
        <f>D!AB$156</f>
        <v>0</v>
      </c>
      <c r="AC87" s="40">
        <f>D!AC$156</f>
        <v>0</v>
      </c>
      <c r="AD87" s="40">
        <f>D!AD$156</f>
        <v>0</v>
      </c>
      <c r="AE87" s="40">
        <f>D!AE$156</f>
        <v>0</v>
      </c>
      <c r="AF87" s="40">
        <f>D!AF$156</f>
        <v>0</v>
      </c>
      <c r="AG87" s="40">
        <f>D!AG$156</f>
        <v>0</v>
      </c>
      <c r="AH87" s="40">
        <f>D!AH$156</f>
        <v>0</v>
      </c>
      <c r="AI87" s="40">
        <f>D!AI$156</f>
        <v>0</v>
      </c>
    </row>
    <row r="88" spans="1:35" ht="15" x14ac:dyDescent="0.2">
      <c r="A88" s="185" t="str">
        <f>D!A$157</f>
        <v>Local Investment Risk (Debt + Equity)</v>
      </c>
      <c r="B88" s="175">
        <f>D!B$157</f>
        <v>0</v>
      </c>
      <c r="C88" s="182">
        <f>D!C$157</f>
        <v>2100000</v>
      </c>
      <c r="E88" s="40">
        <f>D!E$157</f>
        <v>0</v>
      </c>
      <c r="F88" s="40">
        <f>D!F$157</f>
        <v>0</v>
      </c>
      <c r="G88" s="40">
        <f>D!G$157</f>
        <v>0</v>
      </c>
      <c r="H88" s="40">
        <f>D!H$157</f>
        <v>0</v>
      </c>
      <c r="I88" s="40">
        <f>D!I$157</f>
        <v>0</v>
      </c>
      <c r="J88" s="40">
        <f>D!J$157</f>
        <v>0</v>
      </c>
      <c r="K88" s="40">
        <f>D!K$157</f>
        <v>0</v>
      </c>
      <c r="L88" s="40">
        <f>D!L$157</f>
        <v>0</v>
      </c>
      <c r="M88" s="40">
        <f>D!M$157</f>
        <v>0</v>
      </c>
      <c r="N88" s="40">
        <f>D!N$157</f>
        <v>0</v>
      </c>
      <c r="O88" s="40">
        <f>D!O$157</f>
        <v>0</v>
      </c>
      <c r="P88" s="40">
        <f>D!P$157</f>
        <v>0</v>
      </c>
      <c r="Q88" s="40">
        <f>D!Q$157</f>
        <v>0</v>
      </c>
      <c r="R88" s="40">
        <f>D!R$157</f>
        <v>0</v>
      </c>
      <c r="S88" s="40">
        <f>D!S$157</f>
        <v>0</v>
      </c>
      <c r="T88" s="40">
        <f>D!T$157</f>
        <v>0</v>
      </c>
      <c r="U88" s="40">
        <f>D!U$157</f>
        <v>0</v>
      </c>
      <c r="V88" s="40">
        <f>D!V$157</f>
        <v>0</v>
      </c>
      <c r="W88" s="40">
        <f>D!W$157</f>
        <v>0</v>
      </c>
      <c r="X88" s="40">
        <f>D!X$157</f>
        <v>0</v>
      </c>
      <c r="Y88" s="40">
        <f>D!Y$157</f>
        <v>0</v>
      </c>
      <c r="Z88" s="40">
        <f>D!Z$157</f>
        <v>0</v>
      </c>
      <c r="AA88" s="40">
        <f>D!AA$157</f>
        <v>0</v>
      </c>
      <c r="AB88" s="40">
        <f>D!AB$157</f>
        <v>0</v>
      </c>
      <c r="AC88" s="40">
        <f>D!AC$157</f>
        <v>0</v>
      </c>
      <c r="AD88" s="40">
        <f>D!AD$157</f>
        <v>0</v>
      </c>
      <c r="AE88" s="40">
        <f>D!AE$157</f>
        <v>0</v>
      </c>
      <c r="AF88" s="40">
        <f>D!AF$157</f>
        <v>0</v>
      </c>
      <c r="AG88" s="40">
        <f>D!AG$157</f>
        <v>0</v>
      </c>
      <c r="AH88" s="40">
        <f>D!AH$157</f>
        <v>0</v>
      </c>
      <c r="AI88" s="40">
        <f>D!AI$157</f>
        <v>0</v>
      </c>
    </row>
    <row r="89" spans="1:35" ht="15" customHeight="1" x14ac:dyDescent="0.2">
      <c r="A89" s="185" t="str">
        <f>D!A$158</f>
        <v>Outside Investment Risk (Debt + Equity)</v>
      </c>
      <c r="B89" s="175">
        <f>D!B$158</f>
        <v>0</v>
      </c>
      <c r="C89" s="182">
        <f>D!C$158</f>
        <v>0</v>
      </c>
      <c r="E89" s="40">
        <f>D!E$158</f>
        <v>0</v>
      </c>
      <c r="F89" s="40">
        <f>D!F$158</f>
        <v>0</v>
      </c>
      <c r="G89" s="40">
        <f>D!G$158</f>
        <v>0</v>
      </c>
      <c r="H89" s="40">
        <f>D!H$158</f>
        <v>0</v>
      </c>
      <c r="I89" s="40">
        <f>D!I$158</f>
        <v>0</v>
      </c>
      <c r="J89" s="40">
        <f>D!J$158</f>
        <v>0</v>
      </c>
      <c r="K89" s="40">
        <f>D!K$158</f>
        <v>0</v>
      </c>
      <c r="L89" s="40">
        <f>D!L$158</f>
        <v>0</v>
      </c>
      <c r="M89" s="40">
        <f>D!M$158</f>
        <v>0</v>
      </c>
      <c r="N89" s="40">
        <f>D!N$158</f>
        <v>0</v>
      </c>
      <c r="O89" s="40">
        <f>D!O$158</f>
        <v>0</v>
      </c>
      <c r="P89" s="40">
        <f>D!P$158</f>
        <v>0</v>
      </c>
      <c r="Q89" s="40">
        <f>D!Q$158</f>
        <v>0</v>
      </c>
      <c r="R89" s="40">
        <f>D!R$158</f>
        <v>0</v>
      </c>
      <c r="S89" s="40">
        <f>D!S$158</f>
        <v>0</v>
      </c>
      <c r="T89" s="40">
        <f>D!T$158</f>
        <v>0</v>
      </c>
      <c r="U89" s="40">
        <f>D!U$158</f>
        <v>0</v>
      </c>
      <c r="V89" s="40">
        <f>D!V$158</f>
        <v>0</v>
      </c>
      <c r="W89" s="40">
        <f>D!W$158</f>
        <v>0</v>
      </c>
      <c r="X89" s="40">
        <f>D!X$158</f>
        <v>0</v>
      </c>
      <c r="Y89" s="40">
        <f>D!Y$158</f>
        <v>0</v>
      </c>
      <c r="Z89" s="40">
        <f>D!Z$158</f>
        <v>0</v>
      </c>
      <c r="AA89" s="40">
        <f>D!AA$158</f>
        <v>0</v>
      </c>
      <c r="AB89" s="40">
        <f>D!AB$158</f>
        <v>0</v>
      </c>
      <c r="AC89" s="40">
        <f>D!AC$158</f>
        <v>0</v>
      </c>
      <c r="AD89" s="40">
        <f>D!AD$158</f>
        <v>0</v>
      </c>
      <c r="AE89" s="40">
        <f>D!AE$158</f>
        <v>0</v>
      </c>
      <c r="AF89" s="40">
        <f>D!AF$158</f>
        <v>0</v>
      </c>
      <c r="AG89" s="40">
        <f>D!AG$158</f>
        <v>0</v>
      </c>
      <c r="AH89" s="40">
        <f>D!AH$158</f>
        <v>0</v>
      </c>
      <c r="AI89" s="40">
        <f>D!AI$158</f>
        <v>0</v>
      </c>
    </row>
  </sheetData>
  <sheetProtection algorithmName="SHA-512" hashValue="TKHe2vD2R7UJ1w6wuIrd0UtHnKX3vJ+wMUWglU/T38vfr7L3bdsC5/gQ9PWkjKu6xFh18U/7o7oUQQ4U92e6Hg==" saltValue="j+nJXK6ibs6hOlnqsAmbpw==" spinCount="100000" sheet="1" objects="1" scenarios="1"/>
  <mergeCells count="3">
    <mergeCell ref="C5:C6"/>
    <mergeCell ref="B5:B6"/>
    <mergeCell ref="D5:D6"/>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249977111117893"/>
  </sheetPr>
  <dimension ref="A1:AP171"/>
  <sheetViews>
    <sheetView zoomScale="68" zoomScaleNormal="68" workbookViewId="0">
      <selection activeCell="A5" sqref="A5"/>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6" customWidth="1"/>
    <col min="21" max="41" width="18.28515625" style="2" customWidth="1"/>
    <col min="42" max="16384" width="9.140625" style="2"/>
  </cols>
  <sheetData>
    <row r="1" spans="1:42" s="53" customFormat="1" ht="26.25" customHeight="1" x14ac:dyDescent="0.4">
      <c r="A1" s="73" t="s">
        <v>75</v>
      </c>
      <c r="B1" s="73"/>
      <c r="C1" s="73"/>
      <c r="D1" s="2"/>
      <c r="E1" s="500" t="s">
        <v>262</v>
      </c>
      <c r="F1" s="500"/>
      <c r="G1" s="2"/>
      <c r="H1" s="499" t="s">
        <v>76</v>
      </c>
      <c r="I1" s="499"/>
      <c r="J1" s="499"/>
      <c r="K1" s="499"/>
      <c r="L1" s="499"/>
      <c r="M1" s="499"/>
      <c r="N1" s="499"/>
      <c r="O1" s="499"/>
      <c r="P1" s="499"/>
      <c r="Q1" s="499"/>
      <c r="R1" s="499"/>
      <c r="S1" s="499"/>
      <c r="T1" s="499"/>
      <c r="U1" s="5"/>
      <c r="V1" s="5"/>
      <c r="W1" s="5"/>
      <c r="X1" s="5"/>
      <c r="Y1" s="5"/>
      <c r="Z1" s="5"/>
      <c r="AA1" s="5"/>
      <c r="AB1" s="5"/>
      <c r="AC1" s="5"/>
      <c r="AD1" s="2"/>
      <c r="AE1" s="2"/>
      <c r="AF1" s="2"/>
      <c r="AG1" s="2"/>
      <c r="AH1" s="2"/>
      <c r="AI1" s="2"/>
      <c r="AJ1" s="2"/>
      <c r="AK1" s="2"/>
      <c r="AL1" s="2"/>
      <c r="AM1" s="2"/>
      <c r="AN1" s="2"/>
      <c r="AO1" s="2"/>
      <c r="AP1" s="2"/>
    </row>
    <row r="2" spans="1:42" s="53" customFormat="1" ht="26.25" x14ac:dyDescent="0.4">
      <c r="A2" s="73" t="s">
        <v>251</v>
      </c>
      <c r="B2" s="65"/>
      <c r="C2" s="115"/>
      <c r="D2" s="2"/>
      <c r="E2" s="500"/>
      <c r="F2" s="500"/>
      <c r="G2" s="2"/>
      <c r="H2" s="499"/>
      <c r="I2" s="499"/>
      <c r="J2" s="499"/>
      <c r="K2" s="499"/>
      <c r="L2" s="499"/>
      <c r="M2" s="499"/>
      <c r="N2" s="499"/>
      <c r="O2" s="499"/>
      <c r="P2" s="499"/>
      <c r="Q2" s="499"/>
      <c r="R2" s="499"/>
      <c r="S2" s="499"/>
      <c r="T2" s="499"/>
      <c r="U2" s="2"/>
      <c r="V2" s="2"/>
      <c r="W2" s="2"/>
      <c r="X2" s="2"/>
      <c r="Y2" s="2"/>
      <c r="Z2" s="2"/>
      <c r="AA2" s="2"/>
      <c r="AB2" s="2"/>
      <c r="AC2" s="2"/>
      <c r="AD2" s="2"/>
      <c r="AE2" s="2"/>
      <c r="AF2" s="2"/>
      <c r="AG2" s="2"/>
      <c r="AH2" s="2"/>
      <c r="AI2" s="2"/>
      <c r="AJ2" s="2"/>
      <c r="AK2" s="2"/>
      <c r="AL2" s="2"/>
      <c r="AM2" s="2"/>
      <c r="AN2" s="2"/>
      <c r="AO2" s="2"/>
      <c r="AP2" s="2"/>
    </row>
    <row r="3" spans="1:42" s="53" customFormat="1" ht="26.25" x14ac:dyDescent="0.4">
      <c r="A3" s="207" t="s">
        <v>250</v>
      </c>
      <c r="B3" s="73"/>
      <c r="C3" s="73"/>
      <c r="D3" s="2"/>
      <c r="E3" s="500"/>
      <c r="F3" s="500"/>
      <c r="G3" s="2"/>
      <c r="H3" s="499"/>
      <c r="I3" s="499"/>
      <c r="J3" s="499"/>
      <c r="K3" s="499"/>
      <c r="L3" s="499"/>
      <c r="M3" s="499"/>
      <c r="N3" s="499"/>
      <c r="O3" s="499"/>
      <c r="P3" s="499"/>
      <c r="Q3" s="499"/>
      <c r="R3" s="499"/>
      <c r="S3" s="499"/>
      <c r="T3" s="499"/>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0"/>
      <c r="B4" s="30"/>
      <c r="C4" s="16"/>
      <c r="D4" s="4" t="s">
        <v>54</v>
      </c>
      <c r="E4" s="67"/>
      <c r="H4" s="62"/>
      <c r="J4" s="30"/>
      <c r="K4" s="30"/>
      <c r="L4" s="30"/>
      <c r="M4" s="30"/>
      <c r="N4" s="30"/>
      <c r="O4" s="30"/>
      <c r="P4" s="30"/>
      <c r="Q4" s="5"/>
      <c r="R4" s="5"/>
      <c r="S4" s="5"/>
      <c r="T4" s="27"/>
      <c r="U4" s="5"/>
      <c r="V4" s="5"/>
      <c r="W4" s="5"/>
    </row>
    <row r="5" spans="1:42" ht="24" customHeight="1" x14ac:dyDescent="0.25">
      <c r="B5" s="32"/>
      <c r="C5" s="16"/>
      <c r="D5" s="203" t="s">
        <v>237</v>
      </c>
      <c r="R5" s="5"/>
      <c r="S5" s="5"/>
      <c r="T5" s="27"/>
      <c r="U5" s="5"/>
      <c r="V5" s="5"/>
      <c r="W5" s="5"/>
    </row>
    <row r="6" spans="1:42" ht="24" customHeight="1" x14ac:dyDescent="0.25">
      <c r="A6" s="69" t="s">
        <v>94</v>
      </c>
      <c r="B6" s="205" t="str">
        <f>'User Inputs'!$B$10</f>
        <v>A</v>
      </c>
      <c r="D6" s="204" t="s">
        <v>93</v>
      </c>
      <c r="T6" s="2"/>
    </row>
    <row r="7" spans="1:42" ht="18.75" customHeight="1" x14ac:dyDescent="0.25">
      <c r="A7" s="69"/>
      <c r="C7" s="2"/>
      <c r="T7" s="2"/>
    </row>
    <row r="8" spans="1:42" ht="18.75" customHeight="1" x14ac:dyDescent="0.25">
      <c r="A8" s="69" t="s">
        <v>82</v>
      </c>
      <c r="B8" s="75" t="str">
        <f>VLOOKUP($B$6,'User Inputs'!$B$10:$AB$14,'User Inputs'!$C$16)</f>
        <v>Third Party</v>
      </c>
      <c r="C8" s="2"/>
      <c r="H8" s="63"/>
      <c r="R8" s="5"/>
      <c r="S8" s="5"/>
      <c r="T8" s="27"/>
      <c r="U8" s="5"/>
      <c r="V8" s="5"/>
      <c r="W8" s="5"/>
    </row>
    <row r="9" spans="1:42" ht="18.75" customHeight="1" x14ac:dyDescent="0.25">
      <c r="A9" s="1" t="s">
        <v>27</v>
      </c>
      <c r="B9" s="75" t="str">
        <f>IF(VLOOKUP($B$6,'User Inputs'!$B$10:$AB$14,'User Inputs'!$E$16)='User Inputs'!$C$69,"Non-Taxable",
IF(VLOOKUP($B$6,'User Inputs'!$B$10:$AB$14,'User Inputs'!$E$16)='User Inputs'!$C$70,"Taxable (Corporation)", "Taxable (Residential)"))</f>
        <v>Taxable (Corporation)</v>
      </c>
      <c r="C9" s="2"/>
      <c r="H9" s="63"/>
      <c r="N9" s="177"/>
      <c r="R9" s="5"/>
      <c r="S9" s="5"/>
      <c r="T9" s="27"/>
      <c r="U9" s="5"/>
      <c r="V9" s="5"/>
      <c r="W9" s="5"/>
    </row>
    <row r="10" spans="1:42" ht="18.75" customHeight="1" x14ac:dyDescent="0.25">
      <c r="A10" s="8" t="s">
        <v>6</v>
      </c>
      <c r="B10" s="12"/>
      <c r="C10" s="13"/>
      <c r="E10" s="8" t="s">
        <v>25</v>
      </c>
      <c r="G10" s="5"/>
      <c r="H10" s="5"/>
      <c r="I10" s="99"/>
      <c r="J10" s="99"/>
      <c r="K10" s="99"/>
      <c r="L10" s="99"/>
      <c r="M10" s="99"/>
      <c r="N10" s="99"/>
      <c r="O10" s="100"/>
      <c r="P10" s="100"/>
      <c r="Q10" s="101"/>
      <c r="R10" s="100"/>
      <c r="S10" s="100"/>
      <c r="T10" s="99"/>
      <c r="U10" s="100"/>
      <c r="V10" s="100"/>
      <c r="W10" s="100"/>
      <c r="X10" s="100"/>
      <c r="Y10" s="100"/>
      <c r="Z10" s="100"/>
      <c r="AA10" s="100"/>
      <c r="AB10" s="100"/>
      <c r="AC10" s="100"/>
      <c r="AD10" s="100"/>
      <c r="AE10" s="100"/>
      <c r="AF10" s="100"/>
      <c r="AG10" s="100"/>
      <c r="AH10" s="100"/>
      <c r="AI10" s="100"/>
      <c r="AJ10" s="100"/>
      <c r="AK10" s="100"/>
      <c r="AL10" s="100"/>
      <c r="AM10" s="100"/>
      <c r="AN10" s="100"/>
    </row>
    <row r="11" spans="1:42" ht="20.25" customHeight="1" x14ac:dyDescent="0.2">
      <c r="A11" s="18" t="s">
        <v>28</v>
      </c>
      <c r="B11" s="116">
        <f>VLOOKUP($B$6,'User Inputs'!$B$10:$AB$14,'User Inputs'!$G$16)*1000</f>
        <v>1000000</v>
      </c>
      <c r="C11" s="13" t="s">
        <v>9</v>
      </c>
      <c r="E11" s="18" t="s">
        <v>0</v>
      </c>
      <c r="G11" s="78">
        <f>'User Inputs'!$D$32</f>
        <v>0.21</v>
      </c>
      <c r="H11" s="24"/>
      <c r="I11" s="102"/>
      <c r="J11" s="103"/>
      <c r="K11" s="102"/>
      <c r="L11" s="102"/>
      <c r="M11" s="100"/>
      <c r="N11" s="100"/>
      <c r="O11" s="101"/>
      <c r="P11" s="100"/>
      <c r="Q11" s="100"/>
      <c r="R11" s="99"/>
      <c r="S11" s="100"/>
      <c r="T11" s="100"/>
      <c r="U11" s="100"/>
      <c r="V11" s="100"/>
      <c r="W11" s="100"/>
      <c r="X11" s="100"/>
      <c r="Y11" s="100"/>
      <c r="Z11" s="100"/>
      <c r="AA11" s="100"/>
      <c r="AB11" s="100"/>
      <c r="AC11" s="100"/>
      <c r="AD11" s="100"/>
      <c r="AE11" s="100"/>
      <c r="AF11" s="100"/>
      <c r="AG11" s="100"/>
      <c r="AH11" s="100"/>
      <c r="AI11" s="100"/>
      <c r="AJ11" s="100"/>
      <c r="AK11" s="100"/>
      <c r="AL11" s="100"/>
      <c r="AM11" s="104">
        <v>28</v>
      </c>
      <c r="AN11" s="104">
        <v>29</v>
      </c>
      <c r="AO11" s="36">
        <v>30</v>
      </c>
    </row>
    <row r="12" spans="1:42" ht="18" customHeight="1" x14ac:dyDescent="0.2">
      <c r="A12" s="46" t="s">
        <v>62</v>
      </c>
      <c r="B12" s="117">
        <f>VLOOKUP($B$6,'User Inputs'!$B$10:$AB$14,'User Inputs'!$F$16)</f>
        <v>2.1</v>
      </c>
      <c r="C12" s="13" t="s">
        <v>121</v>
      </c>
      <c r="E12" s="18" t="s">
        <v>1</v>
      </c>
      <c r="G12" s="78">
        <f>'User Inputs'!$D$33</f>
        <v>0.08</v>
      </c>
      <c r="H12" s="13"/>
      <c r="I12" s="102"/>
      <c r="J12" s="102"/>
      <c r="K12" s="102"/>
      <c r="L12" s="102"/>
      <c r="M12" s="102"/>
      <c r="N12" s="100"/>
      <c r="O12" s="101"/>
      <c r="P12" s="100"/>
      <c r="Q12" s="100"/>
      <c r="R12" s="99"/>
      <c r="S12" s="100"/>
      <c r="T12" s="100"/>
      <c r="U12" s="100"/>
      <c r="V12" s="100"/>
      <c r="W12" s="100"/>
      <c r="X12" s="100"/>
      <c r="Y12" s="100"/>
      <c r="Z12" s="100"/>
      <c r="AA12" s="100"/>
      <c r="AB12" s="100"/>
      <c r="AC12" s="100"/>
      <c r="AD12" s="100"/>
      <c r="AE12" s="100"/>
      <c r="AF12" s="100"/>
      <c r="AG12" s="100"/>
      <c r="AH12" s="100"/>
      <c r="AI12" s="100"/>
      <c r="AJ12" s="100"/>
      <c r="AK12" s="100"/>
      <c r="AL12" s="100"/>
      <c r="AM12" s="100"/>
      <c r="AN12" s="100"/>
    </row>
    <row r="13" spans="1:42" ht="18" customHeight="1" x14ac:dyDescent="0.2">
      <c r="A13" s="46" t="s">
        <v>63</v>
      </c>
      <c r="B13" s="189">
        <f>costperwatt*SystemSize</f>
        <v>2100000</v>
      </c>
      <c r="C13" s="13"/>
      <c r="E13" s="18" t="s">
        <v>36</v>
      </c>
      <c r="G13" s="197">
        <f>G11+(G12*(1-G11))</f>
        <v>0.2732</v>
      </c>
      <c r="H13" s="13"/>
      <c r="I13" s="102"/>
      <c r="J13" s="102"/>
      <c r="K13" s="102"/>
      <c r="L13" s="102"/>
      <c r="M13" s="102"/>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row>
    <row r="14" spans="1:42" ht="18" customHeight="1" x14ac:dyDescent="0.2">
      <c r="A14" s="18" t="s">
        <v>166</v>
      </c>
      <c r="B14" s="179" t="str">
        <f>VLOOKUP($B$6,'User Inputs'!$B$10:$AB$14,'User Inputs'!$D$16)</f>
        <v>Outside Economy</v>
      </c>
      <c r="C14" s="13"/>
      <c r="E14" s="18" t="s">
        <v>10</v>
      </c>
      <c r="G14" s="195">
        <f>IF(taxable="Non-Taxable", 0,VLOOKUP($B$6,'User Inputs'!$B$10:$AB$14,'User Inputs'!$H$16))</f>
        <v>0.26</v>
      </c>
      <c r="H14" s="196">
        <f>IF(taxable="Non-Taxable",0,SysCost*FedTaxCredit)</f>
        <v>546000</v>
      </c>
      <c r="I14" s="102"/>
      <c r="J14" s="102"/>
      <c r="K14" s="102"/>
      <c r="L14" s="102"/>
      <c r="M14" s="102"/>
      <c r="N14" s="105"/>
      <c r="O14" s="106"/>
      <c r="P14" s="105"/>
      <c r="Q14" s="105"/>
      <c r="R14" s="105"/>
      <c r="S14" s="100"/>
      <c r="T14" s="100"/>
      <c r="U14" s="100"/>
      <c r="V14" s="100"/>
      <c r="W14" s="100"/>
      <c r="X14" s="100"/>
      <c r="Y14" s="100"/>
      <c r="Z14" s="100"/>
      <c r="AA14" s="100"/>
      <c r="AB14" s="100"/>
      <c r="AC14" s="100"/>
      <c r="AD14" s="100"/>
      <c r="AE14" s="100"/>
      <c r="AF14" s="100"/>
      <c r="AG14" s="100"/>
      <c r="AH14" s="100"/>
      <c r="AI14" s="100"/>
      <c r="AJ14" s="100"/>
      <c r="AK14" s="100"/>
      <c r="AL14" s="100"/>
      <c r="AM14" s="100"/>
      <c r="AN14" s="100"/>
    </row>
    <row r="15" spans="1:42" ht="18" customHeight="1" x14ac:dyDescent="0.2">
      <c r="A15" s="18" t="s">
        <v>129</v>
      </c>
      <c r="B15" s="120">
        <f>IF(VLOOKUP($B$6,'User Inputs'!$B$10:$AB$14,'User Inputs'!$W$16)=0, 0,IF(VLOOKUP($B$6,'User Inputs'!$B$10:$AB$14,'User Inputs'!$X$16)&lt;1,SysCost*VLOOKUP($B$6,'User Inputs'!$B$10:$AB$14,'User Inputs'!$X$16),VLOOKUP($B$6,'User Inputs'!$B$10:$AB$14,'User Inputs'!$X$16)))</f>
        <v>0</v>
      </c>
      <c r="C15" s="20"/>
      <c r="J15" s="102"/>
      <c r="K15" s="102"/>
      <c r="L15" s="102"/>
      <c r="M15" s="102"/>
      <c r="N15" s="107"/>
      <c r="O15" s="107"/>
      <c r="P15" s="107"/>
      <c r="Q15" s="107"/>
      <c r="R15" s="107"/>
      <c r="S15" s="100"/>
      <c r="T15" s="100"/>
      <c r="U15" s="100"/>
      <c r="V15" s="100"/>
      <c r="W15" s="100"/>
      <c r="X15" s="100"/>
      <c r="Y15" s="100"/>
      <c r="Z15" s="100"/>
      <c r="AA15" s="100"/>
      <c r="AB15" s="100"/>
      <c r="AC15" s="100"/>
      <c r="AD15" s="100"/>
      <c r="AE15" s="100"/>
      <c r="AF15" s="100"/>
      <c r="AG15" s="100"/>
      <c r="AH15" s="100"/>
      <c r="AI15" s="100"/>
      <c r="AJ15" s="100"/>
      <c r="AK15" s="100"/>
      <c r="AL15" s="100"/>
      <c r="AM15" s="100"/>
      <c r="AN15" s="100"/>
    </row>
    <row r="16" spans="1:42" ht="18" customHeight="1" x14ac:dyDescent="0.2">
      <c r="A16" s="18" t="s">
        <v>128</v>
      </c>
      <c r="B16" s="119">
        <f>VLOOKUP($B$6,'User Inputs'!$B$10:$AB$14,'User Inputs'!$W$16)</f>
        <v>0</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100"/>
      <c r="AL16" s="100"/>
    </row>
    <row r="17" spans="1:36" ht="18" customHeight="1" x14ac:dyDescent="0.2">
      <c r="A17" s="46" t="s">
        <v>69</v>
      </c>
      <c r="B17" s="190">
        <f>B18/B11</f>
        <v>0</v>
      </c>
      <c r="C17" s="20" t="s">
        <v>12</v>
      </c>
      <c r="E17" s="18" t="s">
        <v>95</v>
      </c>
      <c r="G17" s="198">
        <v>0.2</v>
      </c>
      <c r="H17" s="198">
        <v>0.32</v>
      </c>
      <c r="I17" s="198">
        <v>0.192</v>
      </c>
      <c r="J17" s="198">
        <v>0.1152</v>
      </c>
      <c r="K17" s="198">
        <v>0.1152</v>
      </c>
      <c r="L17" s="198">
        <v>5.7599999999999998E-2</v>
      </c>
      <c r="M17" s="107"/>
      <c r="N17" s="107"/>
      <c r="O17" s="107"/>
      <c r="P17" s="107"/>
      <c r="Q17" s="107"/>
      <c r="R17" s="107"/>
      <c r="S17" s="100"/>
      <c r="T17" s="100"/>
      <c r="U17" s="100"/>
      <c r="V17" s="100"/>
      <c r="W17" s="100"/>
      <c r="X17" s="100"/>
      <c r="Y17" s="100"/>
      <c r="Z17" s="100"/>
      <c r="AA17" s="100"/>
      <c r="AB17" s="100"/>
      <c r="AC17" s="100"/>
      <c r="AD17" s="100"/>
      <c r="AE17" s="100"/>
      <c r="AF17" s="100"/>
      <c r="AG17" s="100"/>
      <c r="AH17" s="100"/>
      <c r="AI17" s="100"/>
      <c r="AJ17" s="100"/>
    </row>
    <row r="18" spans="1:36" ht="18" customHeight="1" x14ac:dyDescent="0.2">
      <c r="A18" s="46" t="s">
        <v>70</v>
      </c>
      <c r="B18" s="118"/>
      <c r="C18" s="20"/>
      <c r="E18" s="18" t="s">
        <v>65</v>
      </c>
      <c r="G18" s="198">
        <f t="shared" ref="G18:AJ18" si="0">IF(taxable="Taxable (Corporation)",G17,0)</f>
        <v>0.2</v>
      </c>
      <c r="H18" s="198">
        <f t="shared" si="0"/>
        <v>0.32</v>
      </c>
      <c r="I18" s="198">
        <f t="shared" si="0"/>
        <v>0.192</v>
      </c>
      <c r="J18" s="198">
        <f t="shared" si="0"/>
        <v>0.1152</v>
      </c>
      <c r="K18" s="198">
        <f t="shared" si="0"/>
        <v>0.1152</v>
      </c>
      <c r="L18" s="198">
        <f t="shared" si="0"/>
        <v>5.7599999999999998E-2</v>
      </c>
      <c r="M18" s="198">
        <f t="shared" si="0"/>
        <v>0</v>
      </c>
      <c r="N18" s="198">
        <f t="shared" si="0"/>
        <v>0</v>
      </c>
      <c r="O18" s="198">
        <f t="shared" si="0"/>
        <v>0</v>
      </c>
      <c r="P18" s="198">
        <f t="shared" si="0"/>
        <v>0</v>
      </c>
      <c r="Q18" s="198">
        <f t="shared" si="0"/>
        <v>0</v>
      </c>
      <c r="R18" s="198">
        <f t="shared" si="0"/>
        <v>0</v>
      </c>
      <c r="S18" s="198">
        <f t="shared" si="0"/>
        <v>0</v>
      </c>
      <c r="T18" s="198">
        <f t="shared" si="0"/>
        <v>0</v>
      </c>
      <c r="U18" s="198">
        <f t="shared" si="0"/>
        <v>0</v>
      </c>
      <c r="V18" s="198">
        <f t="shared" si="0"/>
        <v>0</v>
      </c>
      <c r="W18" s="198">
        <f t="shared" si="0"/>
        <v>0</v>
      </c>
      <c r="X18" s="198">
        <f t="shared" si="0"/>
        <v>0</v>
      </c>
      <c r="Y18" s="198">
        <f t="shared" si="0"/>
        <v>0</v>
      </c>
      <c r="Z18" s="198">
        <f t="shared" si="0"/>
        <v>0</v>
      </c>
      <c r="AA18" s="198">
        <f t="shared" si="0"/>
        <v>0</v>
      </c>
      <c r="AB18" s="198">
        <f t="shared" si="0"/>
        <v>0</v>
      </c>
      <c r="AC18" s="198">
        <f t="shared" si="0"/>
        <v>0</v>
      </c>
      <c r="AD18" s="198">
        <f t="shared" si="0"/>
        <v>0</v>
      </c>
      <c r="AE18" s="198">
        <f t="shared" si="0"/>
        <v>0</v>
      </c>
      <c r="AF18" s="198">
        <f t="shared" si="0"/>
        <v>0</v>
      </c>
      <c r="AG18" s="198">
        <f t="shared" si="0"/>
        <v>0</v>
      </c>
      <c r="AH18" s="198">
        <f t="shared" si="0"/>
        <v>0</v>
      </c>
      <c r="AI18" s="198">
        <f t="shared" si="0"/>
        <v>0</v>
      </c>
      <c r="AJ18" s="198">
        <f t="shared" si="0"/>
        <v>0</v>
      </c>
    </row>
    <row r="19" spans="1:36" ht="18" customHeight="1" x14ac:dyDescent="0.25">
      <c r="A19" s="66" t="s">
        <v>126</v>
      </c>
      <c r="B19" s="75">
        <f>VLOOKUP($B$6,'User Inputs'!$B$10:$AB$14,'User Inputs'!$I$16)</f>
        <v>0</v>
      </c>
      <c r="C19" s="20"/>
      <c r="E19" s="52" t="s">
        <v>66</v>
      </c>
      <c r="O19" s="27"/>
      <c r="P19" s="25"/>
      <c r="Q19" s="25"/>
      <c r="R19" s="22"/>
      <c r="T19" s="2"/>
    </row>
    <row r="20" spans="1:36" ht="18" customHeight="1" x14ac:dyDescent="0.2">
      <c r="E20" s="64" t="s">
        <v>67</v>
      </c>
      <c r="G20" s="114">
        <f>SysCost</f>
        <v>2100000</v>
      </c>
      <c r="O20" s="27"/>
      <c r="P20" s="25"/>
      <c r="Q20" s="25"/>
      <c r="R20" s="22"/>
      <c r="T20" s="2"/>
    </row>
    <row r="21" spans="1:36" ht="18" customHeight="1" x14ac:dyDescent="0.25">
      <c r="A21" s="8" t="s">
        <v>14</v>
      </c>
      <c r="B21" s="12"/>
      <c r="E21" s="64" t="s">
        <v>96</v>
      </c>
      <c r="G21" s="114">
        <f>IF(taxable="Taxable (Corporation)",-Rebate,0)</f>
        <v>0</v>
      </c>
      <c r="O21" s="27"/>
      <c r="P21" s="25"/>
      <c r="Q21" s="25"/>
      <c r="R21" s="22"/>
      <c r="T21" s="2"/>
    </row>
    <row r="22" spans="1:36" ht="18" customHeight="1" x14ac:dyDescent="0.2">
      <c r="A22" s="18" t="s">
        <v>11</v>
      </c>
      <c r="B22" s="191">
        <f>'User Inputs'!$D$21</f>
        <v>0.13300000000000001</v>
      </c>
      <c r="E22" s="64" t="s">
        <v>72</v>
      </c>
      <c r="G22" s="189">
        <f>-H14*0.5</f>
        <v>-273000</v>
      </c>
      <c r="O22" s="27"/>
      <c r="P22" s="25"/>
      <c r="Q22" s="25"/>
      <c r="R22" s="22"/>
      <c r="T22" s="2"/>
    </row>
    <row r="23" spans="1:36" ht="18" customHeight="1" x14ac:dyDescent="0.2">
      <c r="A23" s="18" t="s">
        <v>20</v>
      </c>
      <c r="B23" s="192">
        <f>'User Inputs'!$D$22</f>
        <v>5.0000000000000001E-3</v>
      </c>
      <c r="E23" s="52" t="s">
        <v>66</v>
      </c>
      <c r="G23" s="189">
        <f>SUM(G20:G22)</f>
        <v>1827000</v>
      </c>
      <c r="I23" s="33"/>
      <c r="J23" s="33"/>
      <c r="K23" s="33"/>
      <c r="L23" s="33"/>
      <c r="M23" s="22"/>
      <c r="N23" s="22"/>
      <c r="O23" s="27"/>
      <c r="P23" s="25"/>
      <c r="Q23" s="25"/>
      <c r="R23" s="22"/>
      <c r="T23" s="2"/>
    </row>
    <row r="24" spans="1:36" ht="18" customHeight="1" x14ac:dyDescent="0.25">
      <c r="A24" s="18" t="s">
        <v>123</v>
      </c>
      <c r="B24" s="76">
        <f>'User Inputs'!$D$23</f>
        <v>25</v>
      </c>
      <c r="E24" s="34" t="s">
        <v>26</v>
      </c>
      <c r="G24" s="33"/>
      <c r="H24" s="33"/>
      <c r="I24" s="138" t="s">
        <v>132</v>
      </c>
      <c r="N24" s="22"/>
      <c r="O24" s="27"/>
      <c r="P24" s="5"/>
      <c r="Q24" s="5"/>
      <c r="R24" s="5"/>
      <c r="T24" s="2"/>
    </row>
    <row r="25" spans="1:36" ht="18" customHeight="1" x14ac:dyDescent="0.2">
      <c r="A25" s="18" t="s">
        <v>102</v>
      </c>
      <c r="B25" s="193">
        <v>20</v>
      </c>
      <c r="E25" s="208" t="s">
        <v>257</v>
      </c>
      <c r="F25" s="61"/>
      <c r="G25" s="78">
        <f>VLOOKUP($B$6,'User Inputs'!$B$10:$AB$14,'User Inputs'!$S$16)*(1-FedTaxCredit)</f>
        <v>0.29599999999999999</v>
      </c>
      <c r="H25" s="35" t="s">
        <v>7</v>
      </c>
      <c r="I25" s="78">
        <f>VLOOKUP($B$6,'User Inputs'!$B$10:$AB$14,'User Inputs'!$Y$16)</f>
        <v>0</v>
      </c>
      <c r="N25" s="22"/>
      <c r="O25" s="27"/>
      <c r="P25" s="5"/>
      <c r="Q25" s="5"/>
      <c r="R25" s="5"/>
      <c r="T25" s="2"/>
    </row>
    <row r="26" spans="1:36" ht="18" customHeight="1" x14ac:dyDescent="0.2">
      <c r="A26" s="18" t="s">
        <v>109</v>
      </c>
      <c r="B26" s="74">
        <f>VLOOKUP($B$6,'User Inputs'!$B$10:$AB$14,'User Inputs'!$L$16)</f>
        <v>0.2</v>
      </c>
      <c r="E26" s="209" t="s">
        <v>256</v>
      </c>
      <c r="F26" s="61"/>
      <c r="G26" s="199">
        <f>1-FedTaxCredit-G25</f>
        <v>0.44400000000000001</v>
      </c>
      <c r="I26" s="202">
        <f>1-$I$25</f>
        <v>1</v>
      </c>
      <c r="J26" s="13"/>
      <c r="K26" s="15"/>
      <c r="L26" s="13"/>
      <c r="M26" s="22"/>
      <c r="N26" s="22"/>
      <c r="O26" s="27"/>
      <c r="P26" s="5"/>
      <c r="Q26" s="5"/>
      <c r="R26" s="5"/>
      <c r="T26" s="2"/>
    </row>
    <row r="27" spans="1:36" ht="18" customHeight="1" x14ac:dyDescent="0.2">
      <c r="A27" s="18" t="s">
        <v>122</v>
      </c>
      <c r="B27" s="76">
        <f>VLOOKUP($B$6,'User Inputs'!$B$10:$AB$14,'User Inputs'!$M$16)</f>
        <v>20</v>
      </c>
      <c r="E27" s="210" t="s">
        <v>64</v>
      </c>
      <c r="F27" s="5"/>
      <c r="G27" s="78">
        <f>VLOOKUP($B$6,'User Inputs'!$B$10:$AB$14,'User Inputs'!$T$16)</f>
        <v>0.06</v>
      </c>
      <c r="H27" s="35" t="s">
        <v>8</v>
      </c>
      <c r="I27" s="78">
        <f>VLOOKUP($B$6,'User Inputs'!$B$10:$AB$14,'User Inputs'!$Z$16)</f>
        <v>0</v>
      </c>
      <c r="J27" s="15"/>
      <c r="K27" s="13"/>
      <c r="L27" s="13"/>
      <c r="M27" s="22"/>
      <c r="N27" s="5"/>
      <c r="O27" s="27"/>
      <c r="P27" s="5"/>
      <c r="Q27" s="5"/>
      <c r="R27" s="5"/>
      <c r="T27" s="2"/>
    </row>
    <row r="28" spans="1:36" ht="18" customHeight="1" x14ac:dyDescent="0.2">
      <c r="A28" s="18" t="s">
        <v>113</v>
      </c>
      <c r="B28" s="74">
        <f>VLOOKUP($B$6,'User Inputs'!$B$10:$AB$14,'User Inputs'!$N$16)</f>
        <v>25</v>
      </c>
      <c r="E28" s="210" t="s">
        <v>2</v>
      </c>
      <c r="F28" s="5"/>
      <c r="G28" s="79">
        <f>VLOOKUP($B$6,'User Inputs'!$B$10:$AB$14,'User Inputs'!$U$16)</f>
        <v>15</v>
      </c>
      <c r="I28" s="79">
        <f>VLOOKUP($B$6,'User Inputs'!$B$10:$AB$14,'User Inputs'!$AA$16)</f>
        <v>0</v>
      </c>
      <c r="J28" s="13" t="s">
        <v>21</v>
      </c>
      <c r="K28" s="13"/>
      <c r="L28" s="13"/>
      <c r="M28" s="22"/>
      <c r="N28" s="5"/>
      <c r="O28" s="27"/>
      <c r="P28" s="5"/>
      <c r="Q28" s="5"/>
      <c r="R28" s="5"/>
      <c r="T28" s="2"/>
    </row>
    <row r="29" spans="1:36" ht="18" customHeight="1" x14ac:dyDescent="0.2">
      <c r="A29" s="18" t="s">
        <v>16</v>
      </c>
      <c r="B29" s="74">
        <f>VLOOKUP($B$6,'User Inputs'!$B$10:$AB$14,'User Inputs'!$J$16)</f>
        <v>0.15</v>
      </c>
      <c r="C29" s="2" t="s">
        <v>5</v>
      </c>
      <c r="E29" s="210" t="s">
        <v>71</v>
      </c>
      <c r="F29" s="5"/>
      <c r="G29" s="189">
        <f>SysCost-B18</f>
        <v>2100000</v>
      </c>
      <c r="H29" s="13"/>
      <c r="I29" s="139"/>
      <c r="J29" s="15"/>
      <c r="K29" s="13"/>
      <c r="L29" s="13"/>
      <c r="M29" s="5"/>
      <c r="N29" s="5"/>
      <c r="O29" s="27"/>
      <c r="P29" s="5"/>
      <c r="Q29" s="5"/>
      <c r="R29" s="5"/>
      <c r="T29" s="2"/>
    </row>
    <row r="30" spans="1:36" ht="18" customHeight="1" x14ac:dyDescent="0.2">
      <c r="A30" s="18" t="s">
        <v>17</v>
      </c>
      <c r="B30" s="77">
        <f>VLOOKUP($B$6,'User Inputs'!$B$10:$AB$14,'User Inputs'!$K$16)</f>
        <v>0.02</v>
      </c>
      <c r="C30" s="13" t="s">
        <v>18</v>
      </c>
      <c r="E30" s="211" t="s">
        <v>8</v>
      </c>
      <c r="F30" s="5"/>
      <c r="G30" s="200">
        <f>NetCost*LoanPer-B19</f>
        <v>932400</v>
      </c>
      <c r="H30" s="13"/>
      <c r="I30" s="161">
        <f>$B$15*$I$26</f>
        <v>0</v>
      </c>
      <c r="J30" s="14"/>
      <c r="K30" s="14"/>
      <c r="L30" s="13"/>
      <c r="M30" s="5"/>
      <c r="N30" s="5"/>
      <c r="O30" s="27"/>
      <c r="P30" s="5"/>
      <c r="Q30" s="5"/>
      <c r="R30" s="5"/>
      <c r="T30" s="2"/>
    </row>
    <row r="31" spans="1:36" ht="18" customHeight="1" x14ac:dyDescent="0.2">
      <c r="A31" s="18" t="s">
        <v>73</v>
      </c>
      <c r="B31" s="74">
        <f>'User Inputs'!D26</f>
        <v>10</v>
      </c>
      <c r="C31" s="13" t="s">
        <v>74</v>
      </c>
      <c r="E31" s="39" t="s">
        <v>143</v>
      </c>
      <c r="G31" s="162" t="str">
        <f>VLOOKUP($B$6,'User Inputs'!$B$10:$AB$14,'User Inputs'!$V$16)</f>
        <v>No</v>
      </c>
      <c r="I31" s="162">
        <f>VLOOKUP($B$6,'User Inputs'!$B$10:$AB$14,'User Inputs'!$AB$16)</f>
        <v>0</v>
      </c>
      <c r="J31" s="15"/>
      <c r="K31" s="13"/>
      <c r="L31" s="13"/>
      <c r="M31" s="5"/>
      <c r="N31" s="5"/>
      <c r="O31" s="27"/>
      <c r="P31" s="5"/>
      <c r="Q31" s="5"/>
      <c r="R31" s="5"/>
      <c r="T31" s="2"/>
    </row>
    <row r="32" spans="1:36" ht="18" customHeight="1" x14ac:dyDescent="0.2">
      <c r="A32" s="18" t="s">
        <v>19</v>
      </c>
      <c r="B32" s="189">
        <f>+OMFactor*SystemSize/1000</f>
        <v>10000</v>
      </c>
      <c r="C32" s="13" t="s">
        <v>29</v>
      </c>
      <c r="D32" s="5"/>
      <c r="G32" s="201">
        <f>IF(G31="Yes",1,0)</f>
        <v>0</v>
      </c>
      <c r="I32" s="201">
        <f>IF(I31="Yes",1,0)</f>
        <v>0</v>
      </c>
      <c r="J32" s="14"/>
      <c r="K32" s="14"/>
      <c r="L32" s="13"/>
      <c r="M32" s="5"/>
      <c r="N32" s="5"/>
      <c r="O32" s="27"/>
      <c r="P32" s="5"/>
      <c r="Q32" s="5"/>
      <c r="R32" s="5"/>
      <c r="T32" s="2"/>
    </row>
    <row r="33" spans="1:35" ht="18" customHeight="1" x14ac:dyDescent="0.2">
      <c r="A33" s="18" t="s">
        <v>22</v>
      </c>
      <c r="B33" s="77">
        <f>'User Inputs'!D27</f>
        <v>2.5000000000000001E-2</v>
      </c>
      <c r="C33" s="13" t="s">
        <v>18</v>
      </c>
      <c r="D33" s="5"/>
      <c r="I33" s="14"/>
      <c r="J33" s="14"/>
      <c r="K33" s="14"/>
      <c r="L33" s="13"/>
      <c r="M33" s="5"/>
      <c r="N33" s="5"/>
      <c r="O33" s="27"/>
      <c r="P33" s="5"/>
      <c r="Q33" s="5"/>
      <c r="R33" s="5"/>
      <c r="T33" s="2"/>
    </row>
    <row r="34" spans="1:35" ht="18" customHeight="1" x14ac:dyDescent="0.2">
      <c r="A34" s="18" t="s">
        <v>23</v>
      </c>
      <c r="B34" s="194">
        <f>'User Inputs'!D28</f>
        <v>7.0000000000000007E-2</v>
      </c>
      <c r="C34" s="13" t="s">
        <v>12</v>
      </c>
      <c r="D34" s="5"/>
      <c r="I34" s="14"/>
      <c r="J34" s="14"/>
      <c r="K34" s="14"/>
    </row>
    <row r="35" spans="1:35" ht="18" customHeight="1" x14ac:dyDescent="0.2">
      <c r="A35" s="18" t="s">
        <v>34</v>
      </c>
      <c r="B35" s="76">
        <f>'User Inputs'!D$29</f>
        <v>10</v>
      </c>
      <c r="C35" s="13" t="s">
        <v>24</v>
      </c>
      <c r="D35" s="5"/>
      <c r="I35" s="14"/>
      <c r="J35" s="14"/>
      <c r="K35" s="14"/>
      <c r="L35" s="15"/>
      <c r="M35" s="13"/>
      <c r="N35" s="13"/>
      <c r="O35" s="5"/>
      <c r="P35" s="5"/>
      <c r="Q35" s="27"/>
      <c r="R35" s="5"/>
      <c r="S35" s="5"/>
      <c r="T35" s="5"/>
    </row>
    <row r="36" spans="1:35" ht="18" customHeight="1" x14ac:dyDescent="0.2">
      <c r="A36" s="18" t="s">
        <v>81</v>
      </c>
      <c r="B36" s="77">
        <f>VLOOKUP($B$6,'User Inputs'!$B$10:$AB$14,'User Inputs'!$O$16)</f>
        <v>0.1</v>
      </c>
      <c r="D36" s="5"/>
      <c r="I36" s="14"/>
      <c r="J36" s="14"/>
      <c r="K36" s="14"/>
    </row>
    <row r="37" spans="1:35" ht="18" customHeight="1" x14ac:dyDescent="0.2">
      <c r="A37" s="18" t="s">
        <v>140</v>
      </c>
      <c r="B37" s="77">
        <f>VLOOKUP($B$6,'User Inputs'!$B$10:$AB$14,'User Inputs'!$P$16)</f>
        <v>0.2</v>
      </c>
      <c r="I37" s="14"/>
      <c r="J37" s="14"/>
      <c r="K37" s="14"/>
    </row>
    <row r="38" spans="1:35" ht="18" customHeight="1" x14ac:dyDescent="0.2">
      <c r="A38" s="2" t="s">
        <v>214</v>
      </c>
      <c r="B38" s="114">
        <f>(VLOOKUP($B$6,'User Inputs'!$B$10:$AB$14,'User Inputs'!$Q$16)+VLOOKUP($B$6,'User Inputs'!$B$10:$AB$14,'User Inputs'!$R$16))*(SystemSize/1000000)</f>
        <v>25000</v>
      </c>
      <c r="C38" s="13" t="s">
        <v>207</v>
      </c>
      <c r="I38" s="14"/>
      <c r="J38" s="14"/>
      <c r="K38" s="14"/>
      <c r="N38" s="13"/>
      <c r="O38" s="15"/>
      <c r="P38" s="13"/>
      <c r="Q38" s="13"/>
      <c r="R38" s="5"/>
      <c r="S38" s="5"/>
      <c r="T38" s="27"/>
      <c r="U38" s="5"/>
      <c r="V38" s="5"/>
      <c r="W38" s="5"/>
    </row>
    <row r="39" spans="1:35" ht="18" customHeight="1" x14ac:dyDescent="0.2">
      <c r="I39" s="14"/>
      <c r="J39" s="14"/>
      <c r="K39" s="14"/>
      <c r="L39" s="13"/>
      <c r="M39" s="13"/>
      <c r="N39" s="13"/>
      <c r="O39" s="15"/>
      <c r="P39" s="13"/>
      <c r="Q39" s="13"/>
      <c r="R39" s="5"/>
      <c r="S39" s="5"/>
      <c r="T39" s="27"/>
      <c r="U39" s="5"/>
      <c r="V39" s="5"/>
      <c r="W39" s="5"/>
    </row>
    <row r="40" spans="1:35" ht="18" customHeight="1" x14ac:dyDescent="0.2">
      <c r="I40" s="14"/>
      <c r="J40" s="14"/>
      <c r="K40" s="14"/>
      <c r="M40" s="13"/>
      <c r="R40" s="5"/>
      <c r="S40" s="5"/>
      <c r="T40" s="27"/>
      <c r="U40" s="5"/>
      <c r="V40" s="5"/>
      <c r="W40" s="5"/>
    </row>
    <row r="41" spans="1:35" ht="18" customHeight="1" x14ac:dyDescent="0.2">
      <c r="A41" s="3"/>
      <c r="B41" s="3"/>
      <c r="C41" s="16"/>
      <c r="D41" s="13"/>
      <c r="E41" s="13"/>
      <c r="F41" s="13"/>
      <c r="G41" s="15"/>
      <c r="R41" s="5"/>
      <c r="S41" s="5"/>
      <c r="T41" s="27"/>
      <c r="U41" s="5"/>
      <c r="V41" s="5"/>
      <c r="W41" s="5"/>
    </row>
    <row r="42" spans="1:35" s="5" customFormat="1" ht="26.25" x14ac:dyDescent="0.4">
      <c r="A42" s="96" t="s">
        <v>55</v>
      </c>
      <c r="B42" s="96"/>
      <c r="C42" s="96"/>
      <c r="D42" s="96"/>
      <c r="E42" s="96"/>
      <c r="F42" s="96"/>
      <c r="G42" s="96"/>
      <c r="H42" s="96"/>
      <c r="I42" s="96"/>
      <c r="J42" s="96"/>
      <c r="K42" s="96"/>
      <c r="L42" s="96"/>
      <c r="M42" s="96"/>
      <c r="N42" s="96"/>
      <c r="O42" s="96"/>
      <c r="P42" s="97"/>
      <c r="Q42" s="97"/>
      <c r="R42" s="97"/>
      <c r="S42" s="97"/>
      <c r="T42" s="97"/>
      <c r="U42" s="97"/>
      <c r="V42" s="97"/>
      <c r="W42" s="97"/>
      <c r="X42" s="97"/>
      <c r="Y42" s="97"/>
      <c r="Z42" s="98"/>
      <c r="AA42" s="98"/>
      <c r="AB42" s="98"/>
      <c r="AC42" s="98"/>
      <c r="AD42" s="98"/>
      <c r="AE42" s="98"/>
      <c r="AF42" s="98"/>
      <c r="AG42" s="98"/>
      <c r="AH42" s="98"/>
      <c r="AI42" s="98"/>
    </row>
    <row r="43" spans="1:35" ht="18" customHeight="1" x14ac:dyDescent="0.25">
      <c r="E43" s="31" t="s">
        <v>112</v>
      </c>
      <c r="F43" s="4" t="s">
        <v>3</v>
      </c>
      <c r="G43" s="4" t="s">
        <v>3</v>
      </c>
      <c r="H43" s="4" t="s">
        <v>3</v>
      </c>
      <c r="I43" s="4" t="s">
        <v>3</v>
      </c>
      <c r="J43" s="4" t="s">
        <v>3</v>
      </c>
      <c r="K43" s="4" t="s">
        <v>3</v>
      </c>
      <c r="L43" s="4" t="s">
        <v>3</v>
      </c>
      <c r="M43" s="4" t="s">
        <v>3</v>
      </c>
      <c r="N43" s="4" t="s">
        <v>3</v>
      </c>
      <c r="O43" s="4" t="s">
        <v>3</v>
      </c>
      <c r="P43" s="4" t="s">
        <v>3</v>
      </c>
      <c r="Q43" s="4" t="s">
        <v>3</v>
      </c>
      <c r="R43" s="4" t="s">
        <v>3</v>
      </c>
      <c r="S43" s="4" t="s">
        <v>3</v>
      </c>
      <c r="T43" s="4" t="s">
        <v>3</v>
      </c>
      <c r="U43" s="4" t="s">
        <v>3</v>
      </c>
      <c r="V43" s="28" t="s">
        <v>3</v>
      </c>
      <c r="W43" s="4" t="s">
        <v>3</v>
      </c>
      <c r="X43" s="4" t="s">
        <v>3</v>
      </c>
      <c r="Y43" s="4" t="s">
        <v>3</v>
      </c>
      <c r="Z43" s="4" t="s">
        <v>3</v>
      </c>
      <c r="AA43" s="4" t="s">
        <v>3</v>
      </c>
      <c r="AB43" s="4" t="s">
        <v>3</v>
      </c>
      <c r="AC43" s="4" t="s">
        <v>3</v>
      </c>
      <c r="AD43" s="4" t="s">
        <v>3</v>
      </c>
      <c r="AE43" s="4" t="s">
        <v>3</v>
      </c>
      <c r="AF43" s="4" t="s">
        <v>3</v>
      </c>
      <c r="AG43" s="4" t="s">
        <v>3</v>
      </c>
      <c r="AH43" s="4" t="s">
        <v>3</v>
      </c>
      <c r="AI43" s="4" t="s">
        <v>3</v>
      </c>
    </row>
    <row r="44" spans="1:35" ht="18" customHeight="1" x14ac:dyDescent="0.25">
      <c r="A44" s="6" t="s">
        <v>31</v>
      </c>
      <c r="B44" s="6"/>
      <c r="C44" s="11"/>
      <c r="E44" s="38">
        <v>0</v>
      </c>
      <c r="F44" s="7">
        <v>1</v>
      </c>
      <c r="G44" s="7">
        <v>2</v>
      </c>
      <c r="H44" s="7">
        <v>3</v>
      </c>
      <c r="I44" s="7">
        <v>4</v>
      </c>
      <c r="J44" s="7">
        <v>5</v>
      </c>
      <c r="K44" s="7">
        <v>6</v>
      </c>
      <c r="L44" s="7">
        <v>7</v>
      </c>
      <c r="M44" s="7">
        <v>8</v>
      </c>
      <c r="N44" s="7">
        <v>9</v>
      </c>
      <c r="O44" s="7">
        <v>10</v>
      </c>
      <c r="P44" s="7">
        <v>11</v>
      </c>
      <c r="Q44" s="7">
        <v>12</v>
      </c>
      <c r="R44" s="7">
        <v>13</v>
      </c>
      <c r="S44" s="7">
        <v>14</v>
      </c>
      <c r="T44" s="7">
        <v>15</v>
      </c>
      <c r="U44" s="7">
        <v>16</v>
      </c>
      <c r="V44" s="29">
        <v>17</v>
      </c>
      <c r="W44" s="7">
        <v>18</v>
      </c>
      <c r="X44" s="7">
        <v>19</v>
      </c>
      <c r="Y44" s="7">
        <v>20</v>
      </c>
      <c r="Z44" s="7">
        <v>21</v>
      </c>
      <c r="AA44" s="7">
        <v>22</v>
      </c>
      <c r="AB44" s="7">
        <v>23</v>
      </c>
      <c r="AC44" s="7">
        <v>24</v>
      </c>
      <c r="AD44" s="7">
        <v>25</v>
      </c>
      <c r="AE44" s="7">
        <v>26</v>
      </c>
      <c r="AF44" s="7">
        <v>27</v>
      </c>
      <c r="AG44" s="7">
        <v>28</v>
      </c>
      <c r="AH44" s="7">
        <v>29</v>
      </c>
      <c r="AI44" s="7">
        <v>30</v>
      </c>
    </row>
    <row r="45" spans="1:35" ht="18" customHeight="1" x14ac:dyDescent="0.2">
      <c r="A45" s="86" t="s">
        <v>13</v>
      </c>
      <c r="B45" s="87"/>
      <c r="C45" s="88"/>
      <c r="D45" s="88"/>
      <c r="E45" s="88"/>
      <c r="F45" s="89">
        <f>B11*8760*CapacityFactor/1000</f>
        <v>1165080</v>
      </c>
      <c r="G45" s="89">
        <f t="shared" ref="G45:AI45" si="1">IF(G44&lt;=projectlife,F45*(1-Degredation),0)</f>
        <v>1159254.6000000001</v>
      </c>
      <c r="H45" s="89">
        <f t="shared" si="1"/>
        <v>1153458.327</v>
      </c>
      <c r="I45" s="89">
        <f t="shared" si="1"/>
        <v>1147691.0353650001</v>
      </c>
      <c r="J45" s="89">
        <f t="shared" si="1"/>
        <v>1141952.5801881752</v>
      </c>
      <c r="K45" s="89">
        <f t="shared" si="1"/>
        <v>1136242.8172872344</v>
      </c>
      <c r="L45" s="89">
        <f t="shared" si="1"/>
        <v>1130561.6032007982</v>
      </c>
      <c r="M45" s="89">
        <f t="shared" si="1"/>
        <v>1124908.7951847941</v>
      </c>
      <c r="N45" s="89">
        <f t="shared" si="1"/>
        <v>1119284.2512088702</v>
      </c>
      <c r="O45" s="89">
        <f t="shared" si="1"/>
        <v>1113687.8299528258</v>
      </c>
      <c r="P45" s="89">
        <f t="shared" si="1"/>
        <v>1108119.3908030617</v>
      </c>
      <c r="Q45" s="89">
        <f t="shared" si="1"/>
        <v>1102578.7938490463</v>
      </c>
      <c r="R45" s="89">
        <f t="shared" si="1"/>
        <v>1097065.8998798011</v>
      </c>
      <c r="S45" s="89">
        <f t="shared" si="1"/>
        <v>1091580.570380402</v>
      </c>
      <c r="T45" s="89">
        <f t="shared" si="1"/>
        <v>1086122.6675285001</v>
      </c>
      <c r="U45" s="89">
        <f t="shared" si="1"/>
        <v>1080692.0541908576</v>
      </c>
      <c r="V45" s="89">
        <f t="shared" si="1"/>
        <v>1075288.5939199033</v>
      </c>
      <c r="W45" s="89">
        <f t="shared" si="1"/>
        <v>1069912.1509503038</v>
      </c>
      <c r="X45" s="89">
        <f t="shared" si="1"/>
        <v>1064562.5901955522</v>
      </c>
      <c r="Y45" s="89">
        <f t="shared" si="1"/>
        <v>1059239.7772445744</v>
      </c>
      <c r="Z45" s="89">
        <f t="shared" si="1"/>
        <v>1053943.5783583515</v>
      </c>
      <c r="AA45" s="89">
        <f t="shared" si="1"/>
        <v>1048673.8604665597</v>
      </c>
      <c r="AB45" s="89">
        <f t="shared" si="1"/>
        <v>1043430.4911642269</v>
      </c>
      <c r="AC45" s="89">
        <f t="shared" si="1"/>
        <v>1038213.3387084057</v>
      </c>
      <c r="AD45" s="89">
        <f t="shared" si="1"/>
        <v>1033022.2720148637</v>
      </c>
      <c r="AE45" s="89">
        <f t="shared" si="1"/>
        <v>0</v>
      </c>
      <c r="AF45" s="89">
        <f t="shared" si="1"/>
        <v>0</v>
      </c>
      <c r="AG45" s="89">
        <f t="shared" si="1"/>
        <v>0</v>
      </c>
      <c r="AH45" s="89">
        <f t="shared" si="1"/>
        <v>0</v>
      </c>
      <c r="AI45" s="90">
        <f t="shared" si="1"/>
        <v>0</v>
      </c>
    </row>
    <row r="46" spans="1:35" ht="18" customHeight="1" x14ac:dyDescent="0.2">
      <c r="A46" s="2" t="s">
        <v>137</v>
      </c>
      <c r="B46" s="160"/>
      <c r="C46" s="10"/>
      <c r="E46" s="159">
        <f t="shared" ref="E46:AI46" si="2">IF($B$16=0,1,IF(E$44&lt;=$B$16,1,0))</f>
        <v>1</v>
      </c>
      <c r="F46" s="159">
        <f t="shared" si="2"/>
        <v>1</v>
      </c>
      <c r="G46" s="159">
        <f t="shared" si="2"/>
        <v>1</v>
      </c>
      <c r="H46" s="159">
        <f t="shared" si="2"/>
        <v>1</v>
      </c>
      <c r="I46" s="159">
        <f t="shared" si="2"/>
        <v>1</v>
      </c>
      <c r="J46" s="159">
        <f t="shared" si="2"/>
        <v>1</v>
      </c>
      <c r="K46" s="159">
        <f t="shared" si="2"/>
        <v>1</v>
      </c>
      <c r="L46" s="159">
        <f t="shared" si="2"/>
        <v>1</v>
      </c>
      <c r="M46" s="159">
        <f t="shared" si="2"/>
        <v>1</v>
      </c>
      <c r="N46" s="159">
        <f t="shared" si="2"/>
        <v>1</v>
      </c>
      <c r="O46" s="159">
        <f t="shared" si="2"/>
        <v>1</v>
      </c>
      <c r="P46" s="159">
        <f t="shared" si="2"/>
        <v>1</v>
      </c>
      <c r="Q46" s="159">
        <f t="shared" si="2"/>
        <v>1</v>
      </c>
      <c r="R46" s="159">
        <f t="shared" si="2"/>
        <v>1</v>
      </c>
      <c r="S46" s="159">
        <f t="shared" si="2"/>
        <v>1</v>
      </c>
      <c r="T46" s="159">
        <f t="shared" si="2"/>
        <v>1</v>
      </c>
      <c r="U46" s="159">
        <f t="shared" si="2"/>
        <v>1</v>
      </c>
      <c r="V46" s="159">
        <f t="shared" si="2"/>
        <v>1</v>
      </c>
      <c r="W46" s="159">
        <f t="shared" si="2"/>
        <v>1</v>
      </c>
      <c r="X46" s="159">
        <f t="shared" si="2"/>
        <v>1</v>
      </c>
      <c r="Y46" s="159">
        <f t="shared" si="2"/>
        <v>1</v>
      </c>
      <c r="Z46" s="159">
        <f t="shared" si="2"/>
        <v>1</v>
      </c>
      <c r="AA46" s="159">
        <f t="shared" si="2"/>
        <v>1</v>
      </c>
      <c r="AB46" s="159">
        <f t="shared" si="2"/>
        <v>1</v>
      </c>
      <c r="AC46" s="159">
        <f t="shared" si="2"/>
        <v>1</v>
      </c>
      <c r="AD46" s="159">
        <f t="shared" si="2"/>
        <v>1</v>
      </c>
      <c r="AE46" s="159">
        <f t="shared" si="2"/>
        <v>1</v>
      </c>
      <c r="AF46" s="159">
        <f t="shared" si="2"/>
        <v>1</v>
      </c>
      <c r="AG46" s="159">
        <f t="shared" si="2"/>
        <v>1</v>
      </c>
      <c r="AH46" s="159">
        <f t="shared" si="2"/>
        <v>1</v>
      </c>
      <c r="AI46" s="159">
        <f t="shared" si="2"/>
        <v>1</v>
      </c>
    </row>
    <row r="47" spans="1:35" ht="18" customHeight="1" x14ac:dyDescent="0.2">
      <c r="A47" s="2" t="s">
        <v>136</v>
      </c>
      <c r="C47" s="10"/>
      <c r="E47" s="159">
        <f>IF(E46=1,0,1)</f>
        <v>0</v>
      </c>
      <c r="F47" s="159">
        <f t="shared" ref="F47:AI47" si="3">IF(F46=1,0,1)</f>
        <v>0</v>
      </c>
      <c r="G47" s="159">
        <f t="shared" si="3"/>
        <v>0</v>
      </c>
      <c r="H47" s="159">
        <f t="shared" si="3"/>
        <v>0</v>
      </c>
      <c r="I47" s="159">
        <f t="shared" si="3"/>
        <v>0</v>
      </c>
      <c r="J47" s="159">
        <f t="shared" si="3"/>
        <v>0</v>
      </c>
      <c r="K47" s="159">
        <f t="shared" si="3"/>
        <v>0</v>
      </c>
      <c r="L47" s="159">
        <f t="shared" si="3"/>
        <v>0</v>
      </c>
      <c r="M47" s="159">
        <f t="shared" si="3"/>
        <v>0</v>
      </c>
      <c r="N47" s="159">
        <f t="shared" si="3"/>
        <v>0</v>
      </c>
      <c r="O47" s="159">
        <f t="shared" si="3"/>
        <v>0</v>
      </c>
      <c r="P47" s="159">
        <f t="shared" si="3"/>
        <v>0</v>
      </c>
      <c r="Q47" s="159">
        <f t="shared" si="3"/>
        <v>0</v>
      </c>
      <c r="R47" s="159">
        <f t="shared" si="3"/>
        <v>0</v>
      </c>
      <c r="S47" s="159">
        <f t="shared" si="3"/>
        <v>0</v>
      </c>
      <c r="T47" s="159">
        <f t="shared" si="3"/>
        <v>0</v>
      </c>
      <c r="U47" s="159">
        <f t="shared" si="3"/>
        <v>0</v>
      </c>
      <c r="V47" s="159">
        <f t="shared" si="3"/>
        <v>0</v>
      </c>
      <c r="W47" s="159">
        <f t="shared" si="3"/>
        <v>0</v>
      </c>
      <c r="X47" s="159">
        <f t="shared" si="3"/>
        <v>0</v>
      </c>
      <c r="Y47" s="159">
        <f t="shared" si="3"/>
        <v>0</v>
      </c>
      <c r="Z47" s="159">
        <f t="shared" si="3"/>
        <v>0</v>
      </c>
      <c r="AA47" s="159">
        <f t="shared" si="3"/>
        <v>0</v>
      </c>
      <c r="AB47" s="159">
        <f t="shared" si="3"/>
        <v>0</v>
      </c>
      <c r="AC47" s="159">
        <f t="shared" si="3"/>
        <v>0</v>
      </c>
      <c r="AD47" s="159">
        <f t="shared" si="3"/>
        <v>0</v>
      </c>
      <c r="AE47" s="159">
        <f t="shared" si="3"/>
        <v>0</v>
      </c>
      <c r="AF47" s="159">
        <f t="shared" si="3"/>
        <v>0</v>
      </c>
      <c r="AG47" s="159">
        <f t="shared" si="3"/>
        <v>0</v>
      </c>
      <c r="AH47" s="159">
        <f t="shared" si="3"/>
        <v>0</v>
      </c>
      <c r="AI47" s="159">
        <f t="shared" si="3"/>
        <v>0</v>
      </c>
    </row>
    <row r="48" spans="1:35" ht="21.75" customHeight="1" x14ac:dyDescent="0.3">
      <c r="A48" s="43" t="s">
        <v>68</v>
      </c>
      <c r="B48" s="43"/>
      <c r="C48" s="44"/>
      <c r="D48" s="44"/>
      <c r="E48" s="44"/>
      <c r="F48" s="48"/>
      <c r="G48" s="49"/>
      <c r="H48" s="49"/>
      <c r="I48" s="49"/>
      <c r="J48" s="49"/>
      <c r="K48" s="49"/>
      <c r="L48" s="49"/>
      <c r="M48" s="49"/>
      <c r="N48" s="49"/>
      <c r="O48" s="49"/>
      <c r="P48" s="49"/>
      <c r="Q48" s="49"/>
      <c r="R48" s="49"/>
      <c r="S48" s="49"/>
      <c r="T48" s="49"/>
      <c r="U48" s="49"/>
      <c r="V48" s="50"/>
      <c r="W48" s="49"/>
      <c r="X48" s="49"/>
      <c r="Y48" s="49"/>
      <c r="Z48" s="49"/>
      <c r="AA48" s="49"/>
      <c r="AB48" s="49"/>
      <c r="AC48" s="49"/>
      <c r="AD48" s="49"/>
      <c r="AE48" s="49"/>
      <c r="AF48" s="49"/>
      <c r="AG48" s="49"/>
      <c r="AH48" s="49"/>
      <c r="AI48" s="49"/>
    </row>
    <row r="49" spans="1:35" ht="18" customHeight="1" x14ac:dyDescent="0.25">
      <c r="A49" s="41" t="s">
        <v>52</v>
      </c>
      <c r="B49" s="41"/>
      <c r="C49" s="10"/>
      <c r="E49" s="10"/>
      <c r="F49" s="54"/>
      <c r="G49" s="19"/>
      <c r="H49" s="19"/>
      <c r="I49" s="19"/>
      <c r="J49" s="19"/>
      <c r="K49" s="19"/>
      <c r="L49" s="19"/>
      <c r="M49" s="19"/>
      <c r="N49" s="19"/>
      <c r="O49" s="19"/>
      <c r="P49" s="19"/>
      <c r="Q49" s="19"/>
      <c r="R49" s="19"/>
      <c r="S49" s="19"/>
      <c r="T49" s="19"/>
      <c r="U49" s="19"/>
      <c r="V49" s="9"/>
      <c r="W49" s="19"/>
      <c r="X49" s="19"/>
      <c r="Y49" s="19"/>
      <c r="Z49" s="19"/>
      <c r="AA49" s="19"/>
      <c r="AB49" s="19"/>
      <c r="AC49" s="19"/>
      <c r="AD49" s="19"/>
      <c r="AE49" s="19"/>
      <c r="AF49" s="19"/>
      <c r="AG49" s="19"/>
      <c r="AH49" s="19"/>
      <c r="AI49" s="19"/>
    </row>
    <row r="50" spans="1:35" ht="18" customHeight="1" x14ac:dyDescent="0.2">
      <c r="A50" s="17" t="s">
        <v>111</v>
      </c>
      <c r="B50" s="17"/>
      <c r="C50" s="10"/>
      <c r="E50" s="10"/>
      <c r="F50" s="9">
        <f t="shared" ref="F50:AI50" si="4">Generation*F$46*elecRev*(1+ElecRevAdj)^E$44</f>
        <v>174762</v>
      </c>
      <c r="G50" s="9">
        <f t="shared" si="4"/>
        <v>177365.95380000002</v>
      </c>
      <c r="H50" s="9">
        <f t="shared" si="4"/>
        <v>180008.70651162002</v>
      </c>
      <c r="I50" s="9">
        <f t="shared" si="4"/>
        <v>182690.83623864315</v>
      </c>
      <c r="J50" s="9">
        <f t="shared" si="4"/>
        <v>185412.92969859895</v>
      </c>
      <c r="K50" s="9">
        <f t="shared" si="4"/>
        <v>188175.58235110808</v>
      </c>
      <c r="L50" s="9">
        <f t="shared" si="4"/>
        <v>190979.3985281396</v>
      </c>
      <c r="M50" s="9">
        <f t="shared" si="4"/>
        <v>193824.9915662088</v>
      </c>
      <c r="N50" s="9">
        <f t="shared" si="4"/>
        <v>196712.98394054535</v>
      </c>
      <c r="O50" s="9">
        <f t="shared" si="4"/>
        <v>199644.00740125947</v>
      </c>
      <c r="P50" s="9">
        <f t="shared" si="4"/>
        <v>202618.70311153823</v>
      </c>
      <c r="Q50" s="9">
        <f t="shared" si="4"/>
        <v>205637.72178790014</v>
      </c>
      <c r="R50" s="9">
        <f t="shared" si="4"/>
        <v>208701.72384253988</v>
      </c>
      <c r="S50" s="9">
        <f t="shared" si="4"/>
        <v>211811.37952779367</v>
      </c>
      <c r="T50" s="9">
        <f t="shared" si="4"/>
        <v>214967.36908275788</v>
      </c>
      <c r="U50" s="9">
        <f t="shared" si="4"/>
        <v>218170.38288209087</v>
      </c>
      <c r="V50" s="9">
        <f t="shared" si="4"/>
        <v>221421.12158703408</v>
      </c>
      <c r="W50" s="9">
        <f t="shared" si="4"/>
        <v>224720.29629868091</v>
      </c>
      <c r="X50" s="9">
        <f t="shared" si="4"/>
        <v>228068.62871353122</v>
      </c>
      <c r="Y50" s="9">
        <f t="shared" si="4"/>
        <v>231466.85128136279</v>
      </c>
      <c r="Z50" s="9">
        <f t="shared" si="4"/>
        <v>234915.70736545511</v>
      </c>
      <c r="AA50" s="9">
        <f t="shared" si="4"/>
        <v>238415.95140520038</v>
      </c>
      <c r="AB50" s="9">
        <f t="shared" si="4"/>
        <v>241968.34908113792</v>
      </c>
      <c r="AC50" s="9">
        <f t="shared" si="4"/>
        <v>245573.6774824468</v>
      </c>
      <c r="AD50" s="9">
        <f t="shared" si="4"/>
        <v>249232.72527693523</v>
      </c>
      <c r="AE50" s="9">
        <f t="shared" si="4"/>
        <v>0</v>
      </c>
      <c r="AF50" s="9">
        <f t="shared" si="4"/>
        <v>0</v>
      </c>
      <c r="AG50" s="9">
        <f t="shared" si="4"/>
        <v>0</v>
      </c>
      <c r="AH50" s="9">
        <f t="shared" si="4"/>
        <v>0</v>
      </c>
      <c r="AI50" s="9">
        <f t="shared" si="4"/>
        <v>0</v>
      </c>
    </row>
    <row r="51" spans="1:35" ht="18" customHeight="1" x14ac:dyDescent="0.2">
      <c r="A51" s="17" t="s">
        <v>124</v>
      </c>
      <c r="B51" s="17"/>
      <c r="C51" s="10"/>
      <c r="E51" s="10"/>
      <c r="F51" s="9">
        <f t="shared" ref="F51:AI51" si="5">IF($B$27&gt;=F$44,Generation*F$46*$B$26,F$50)</f>
        <v>233016</v>
      </c>
      <c r="G51" s="9">
        <f t="shared" si="5"/>
        <v>231850.92000000004</v>
      </c>
      <c r="H51" s="9">
        <f t="shared" si="5"/>
        <v>230691.66540000003</v>
      </c>
      <c r="I51" s="9">
        <f t="shared" si="5"/>
        <v>229538.20707300003</v>
      </c>
      <c r="J51" s="9">
        <f t="shared" si="5"/>
        <v>228390.51603763504</v>
      </c>
      <c r="K51" s="9">
        <f t="shared" si="5"/>
        <v>227248.56345744687</v>
      </c>
      <c r="L51" s="9">
        <f t="shared" si="5"/>
        <v>226112.32064015965</v>
      </c>
      <c r="M51" s="9">
        <f t="shared" si="5"/>
        <v>224981.75903695883</v>
      </c>
      <c r="N51" s="9">
        <f t="shared" si="5"/>
        <v>223856.85024177405</v>
      </c>
      <c r="O51" s="9">
        <f t="shared" si="5"/>
        <v>222737.56599056517</v>
      </c>
      <c r="P51" s="9">
        <f t="shared" si="5"/>
        <v>221623.87816061234</v>
      </c>
      <c r="Q51" s="9">
        <f t="shared" si="5"/>
        <v>220515.75876980927</v>
      </c>
      <c r="R51" s="9">
        <f t="shared" si="5"/>
        <v>219413.17997596023</v>
      </c>
      <c r="S51" s="9">
        <f t="shared" si="5"/>
        <v>218316.11407608041</v>
      </c>
      <c r="T51" s="9">
        <f t="shared" si="5"/>
        <v>217224.53350570003</v>
      </c>
      <c r="U51" s="9">
        <f t="shared" si="5"/>
        <v>216138.41083817152</v>
      </c>
      <c r="V51" s="9">
        <f t="shared" si="5"/>
        <v>215057.71878398067</v>
      </c>
      <c r="W51" s="9">
        <f t="shared" si="5"/>
        <v>213982.43019006075</v>
      </c>
      <c r="X51" s="9">
        <f t="shared" si="5"/>
        <v>212912.51803911047</v>
      </c>
      <c r="Y51" s="9">
        <f t="shared" si="5"/>
        <v>211847.9554489149</v>
      </c>
      <c r="Z51" s="9">
        <f t="shared" si="5"/>
        <v>234915.70736545511</v>
      </c>
      <c r="AA51" s="9">
        <f t="shared" si="5"/>
        <v>238415.95140520038</v>
      </c>
      <c r="AB51" s="9">
        <f t="shared" si="5"/>
        <v>241968.34908113792</v>
      </c>
      <c r="AC51" s="9">
        <f t="shared" si="5"/>
        <v>245573.6774824468</v>
      </c>
      <c r="AD51" s="9">
        <f t="shared" si="5"/>
        <v>249232.72527693523</v>
      </c>
      <c r="AE51" s="9">
        <f t="shared" si="5"/>
        <v>0</v>
      </c>
      <c r="AF51" s="9">
        <f t="shared" si="5"/>
        <v>0</v>
      </c>
      <c r="AG51" s="9">
        <f t="shared" si="5"/>
        <v>0</v>
      </c>
      <c r="AH51" s="9">
        <f t="shared" si="5"/>
        <v>0</v>
      </c>
      <c r="AI51" s="9">
        <f t="shared" si="5"/>
        <v>0</v>
      </c>
    </row>
    <row r="52" spans="1:35" ht="18" customHeight="1" x14ac:dyDescent="0.2">
      <c r="A52" s="18" t="s">
        <v>15</v>
      </c>
      <c r="B52" s="18"/>
      <c r="C52" s="68"/>
      <c r="E52" s="10"/>
      <c r="F52" s="10">
        <f t="shared" ref="F52:AI52" si="6">IF(F$44&gt;$B$27,$B$28*F$46*F$45/1000,0)</f>
        <v>0</v>
      </c>
      <c r="G52" s="10">
        <f t="shared" si="6"/>
        <v>0</v>
      </c>
      <c r="H52" s="10">
        <f t="shared" si="6"/>
        <v>0</v>
      </c>
      <c r="I52" s="10">
        <f t="shared" si="6"/>
        <v>0</v>
      </c>
      <c r="J52" s="10">
        <f t="shared" si="6"/>
        <v>0</v>
      </c>
      <c r="K52" s="10">
        <f t="shared" si="6"/>
        <v>0</v>
      </c>
      <c r="L52" s="10">
        <f t="shared" si="6"/>
        <v>0</v>
      </c>
      <c r="M52" s="10">
        <f t="shared" si="6"/>
        <v>0</v>
      </c>
      <c r="N52" s="10">
        <f t="shared" si="6"/>
        <v>0</v>
      </c>
      <c r="O52" s="10">
        <f t="shared" si="6"/>
        <v>0</v>
      </c>
      <c r="P52" s="10">
        <f t="shared" si="6"/>
        <v>0</v>
      </c>
      <c r="Q52" s="10">
        <f t="shared" si="6"/>
        <v>0</v>
      </c>
      <c r="R52" s="10">
        <f t="shared" si="6"/>
        <v>0</v>
      </c>
      <c r="S52" s="10">
        <f t="shared" si="6"/>
        <v>0</v>
      </c>
      <c r="T52" s="10">
        <f t="shared" si="6"/>
        <v>0</v>
      </c>
      <c r="U52" s="10">
        <f t="shared" si="6"/>
        <v>0</v>
      </c>
      <c r="V52" s="10">
        <f t="shared" si="6"/>
        <v>0</v>
      </c>
      <c r="W52" s="10">
        <f t="shared" si="6"/>
        <v>0</v>
      </c>
      <c r="X52" s="10">
        <f t="shared" si="6"/>
        <v>0</v>
      </c>
      <c r="Y52" s="10">
        <f t="shared" si="6"/>
        <v>0</v>
      </c>
      <c r="Z52" s="10">
        <f t="shared" si="6"/>
        <v>26348.589458958784</v>
      </c>
      <c r="AA52" s="10">
        <f t="shared" si="6"/>
        <v>26216.846511663993</v>
      </c>
      <c r="AB52" s="10">
        <f t="shared" si="6"/>
        <v>26085.762279105671</v>
      </c>
      <c r="AC52" s="10">
        <f t="shared" si="6"/>
        <v>25955.333467710145</v>
      </c>
      <c r="AD52" s="10">
        <f t="shared" si="6"/>
        <v>25825.556800371593</v>
      </c>
      <c r="AE52" s="10">
        <f t="shared" si="6"/>
        <v>0</v>
      </c>
      <c r="AF52" s="10">
        <f t="shared" si="6"/>
        <v>0</v>
      </c>
      <c r="AG52" s="10">
        <f t="shared" si="6"/>
        <v>0</v>
      </c>
      <c r="AH52" s="10">
        <f t="shared" si="6"/>
        <v>0</v>
      </c>
      <c r="AI52" s="10">
        <f t="shared" si="6"/>
        <v>0</v>
      </c>
    </row>
    <row r="53" spans="1:35" ht="18" customHeight="1" x14ac:dyDescent="0.2">
      <c r="A53" s="17" t="s">
        <v>97</v>
      </c>
      <c r="B53" s="17"/>
      <c r="C53" s="10"/>
      <c r="E53" s="10"/>
      <c r="F53" s="9">
        <f t="shared" ref="F53:AI53" si="7">-($B$36*F50)*F$46</f>
        <v>-17476.2</v>
      </c>
      <c r="G53" s="9">
        <f t="shared" si="7"/>
        <v>-17736.595380000002</v>
      </c>
      <c r="H53" s="9">
        <f t="shared" si="7"/>
        <v>-18000.870651162004</v>
      </c>
      <c r="I53" s="9">
        <f t="shared" si="7"/>
        <v>-18269.083623864317</v>
      </c>
      <c r="J53" s="9">
        <f t="shared" si="7"/>
        <v>-18541.292969859896</v>
      </c>
      <c r="K53" s="9">
        <f t="shared" si="7"/>
        <v>-18817.55823511081</v>
      </c>
      <c r="L53" s="9">
        <f t="shared" si="7"/>
        <v>-19097.939852813961</v>
      </c>
      <c r="M53" s="9">
        <f t="shared" si="7"/>
        <v>-19382.499156620881</v>
      </c>
      <c r="N53" s="9">
        <f t="shared" si="7"/>
        <v>-19671.298394054538</v>
      </c>
      <c r="O53" s="9">
        <f t="shared" si="7"/>
        <v>-19964.400740125948</v>
      </c>
      <c r="P53" s="9">
        <f t="shared" si="7"/>
        <v>-20261.870311153823</v>
      </c>
      <c r="Q53" s="9">
        <f t="shared" si="7"/>
        <v>-20563.772178790015</v>
      </c>
      <c r="R53" s="9">
        <f t="shared" si="7"/>
        <v>-20870.17238425399</v>
      </c>
      <c r="S53" s="9">
        <f t="shared" si="7"/>
        <v>-21181.137952779369</v>
      </c>
      <c r="T53" s="9">
        <f t="shared" si="7"/>
        <v>-21496.73690827579</v>
      </c>
      <c r="U53" s="9">
        <f t="shared" si="7"/>
        <v>-21817.038288209089</v>
      </c>
      <c r="V53" s="9">
        <f t="shared" si="7"/>
        <v>-22142.11215870341</v>
      </c>
      <c r="W53" s="9">
        <f t="shared" si="7"/>
        <v>-22472.029629868091</v>
      </c>
      <c r="X53" s="9">
        <f t="shared" si="7"/>
        <v>-22806.862871353122</v>
      </c>
      <c r="Y53" s="9">
        <f t="shared" si="7"/>
        <v>-23146.68512813628</v>
      </c>
      <c r="Z53" s="9">
        <f t="shared" si="7"/>
        <v>-23491.570736545513</v>
      </c>
      <c r="AA53" s="9">
        <f t="shared" si="7"/>
        <v>-23841.595140520039</v>
      </c>
      <c r="AB53" s="9">
        <f t="shared" si="7"/>
        <v>-24196.834908113793</v>
      </c>
      <c r="AC53" s="9">
        <f t="shared" si="7"/>
        <v>-24557.36774824468</v>
      </c>
      <c r="AD53" s="9">
        <f t="shared" si="7"/>
        <v>-24923.272527693523</v>
      </c>
      <c r="AE53" s="9">
        <f t="shared" si="7"/>
        <v>0</v>
      </c>
      <c r="AF53" s="9">
        <f t="shared" si="7"/>
        <v>0</v>
      </c>
      <c r="AG53" s="9">
        <f t="shared" si="7"/>
        <v>0</v>
      </c>
      <c r="AH53" s="9">
        <f t="shared" si="7"/>
        <v>0</v>
      </c>
      <c r="AI53" s="9">
        <f t="shared" si="7"/>
        <v>0</v>
      </c>
    </row>
    <row r="54" spans="1:35" ht="18" customHeight="1" x14ac:dyDescent="0.2">
      <c r="A54" s="2" t="s">
        <v>108</v>
      </c>
      <c r="B54" s="17"/>
      <c r="C54" s="10"/>
      <c r="E54" s="9"/>
      <c r="F54" s="9">
        <f t="shared" ref="F54:AI54" si="8">IF(F$44&lt;=projectlife,-$B$38*F$46,0)</f>
        <v>-25000</v>
      </c>
      <c r="G54" s="9">
        <f t="shared" si="8"/>
        <v>-25000</v>
      </c>
      <c r="H54" s="9">
        <f t="shared" si="8"/>
        <v>-25000</v>
      </c>
      <c r="I54" s="9">
        <f t="shared" si="8"/>
        <v>-25000</v>
      </c>
      <c r="J54" s="9">
        <f t="shared" si="8"/>
        <v>-25000</v>
      </c>
      <c r="K54" s="9">
        <f t="shared" si="8"/>
        <v>-25000</v>
      </c>
      <c r="L54" s="9">
        <f t="shared" si="8"/>
        <v>-25000</v>
      </c>
      <c r="M54" s="9">
        <f t="shared" si="8"/>
        <v>-25000</v>
      </c>
      <c r="N54" s="9">
        <f t="shared" si="8"/>
        <v>-25000</v>
      </c>
      <c r="O54" s="9">
        <f t="shared" si="8"/>
        <v>-25000</v>
      </c>
      <c r="P54" s="9">
        <f t="shared" si="8"/>
        <v>-25000</v>
      </c>
      <c r="Q54" s="9">
        <f t="shared" si="8"/>
        <v>-25000</v>
      </c>
      <c r="R54" s="9">
        <f t="shared" si="8"/>
        <v>-25000</v>
      </c>
      <c r="S54" s="9">
        <f t="shared" si="8"/>
        <v>-25000</v>
      </c>
      <c r="T54" s="9">
        <f t="shared" si="8"/>
        <v>-25000</v>
      </c>
      <c r="U54" s="9">
        <f t="shared" si="8"/>
        <v>-25000</v>
      </c>
      <c r="V54" s="9">
        <f t="shared" si="8"/>
        <v>-25000</v>
      </c>
      <c r="W54" s="9">
        <f t="shared" si="8"/>
        <v>-25000</v>
      </c>
      <c r="X54" s="9">
        <f t="shared" si="8"/>
        <v>-25000</v>
      </c>
      <c r="Y54" s="9">
        <f t="shared" si="8"/>
        <v>-25000</v>
      </c>
      <c r="Z54" s="9">
        <f t="shared" si="8"/>
        <v>-25000</v>
      </c>
      <c r="AA54" s="9">
        <f t="shared" si="8"/>
        <v>-25000</v>
      </c>
      <c r="AB54" s="9">
        <f t="shared" si="8"/>
        <v>-25000</v>
      </c>
      <c r="AC54" s="9">
        <f t="shared" si="8"/>
        <v>-25000</v>
      </c>
      <c r="AD54" s="9">
        <f t="shared" si="8"/>
        <v>-25000</v>
      </c>
      <c r="AE54" s="9">
        <f t="shared" si="8"/>
        <v>0</v>
      </c>
      <c r="AF54" s="9">
        <f t="shared" si="8"/>
        <v>0</v>
      </c>
      <c r="AG54" s="9">
        <f t="shared" si="8"/>
        <v>0</v>
      </c>
      <c r="AH54" s="9">
        <f t="shared" si="8"/>
        <v>0</v>
      </c>
      <c r="AI54" s="9">
        <f t="shared" si="8"/>
        <v>0</v>
      </c>
    </row>
    <row r="55" spans="1:35" ht="18" customHeight="1" x14ac:dyDescent="0.2">
      <c r="A55" s="37" t="s">
        <v>98</v>
      </c>
      <c r="B55" s="37"/>
      <c r="C55" s="10"/>
      <c r="E55" s="10">
        <f t="shared" ref="E55:AI55" si="9">SUM(E51:E54)</f>
        <v>0</v>
      </c>
      <c r="F55" s="10">
        <f t="shared" si="9"/>
        <v>190539.8</v>
      </c>
      <c r="G55" s="10">
        <f t="shared" si="9"/>
        <v>189114.32462000003</v>
      </c>
      <c r="H55" s="10">
        <f t="shared" si="9"/>
        <v>187690.79474883803</v>
      </c>
      <c r="I55" s="10">
        <f t="shared" si="9"/>
        <v>186269.12344913572</v>
      </c>
      <c r="J55" s="10">
        <f t="shared" si="9"/>
        <v>184849.22306777514</v>
      </c>
      <c r="K55" s="10">
        <f t="shared" si="9"/>
        <v>183431.00522233607</v>
      </c>
      <c r="L55" s="10">
        <f t="shared" si="9"/>
        <v>182014.3807873457</v>
      </c>
      <c r="M55" s="10">
        <f t="shared" si="9"/>
        <v>180599.25988033795</v>
      </c>
      <c r="N55" s="10">
        <f t="shared" si="9"/>
        <v>179185.55184771953</v>
      </c>
      <c r="O55" s="10">
        <f t="shared" si="9"/>
        <v>177773.16525043923</v>
      </c>
      <c r="P55" s="10">
        <f t="shared" si="9"/>
        <v>176362.00784945852</v>
      </c>
      <c r="Q55" s="10">
        <f t="shared" si="9"/>
        <v>174951.98659101926</v>
      </c>
      <c r="R55" s="10">
        <f t="shared" si="9"/>
        <v>173543.00759170623</v>
      </c>
      <c r="S55" s="10">
        <f t="shared" si="9"/>
        <v>172134.97612330105</v>
      </c>
      <c r="T55" s="10">
        <f t="shared" si="9"/>
        <v>170727.79659742425</v>
      </c>
      <c r="U55" s="10">
        <f t="shared" si="9"/>
        <v>169321.37254996243</v>
      </c>
      <c r="V55" s="10">
        <f t="shared" si="9"/>
        <v>167915.60662527726</v>
      </c>
      <c r="W55" s="10">
        <f t="shared" si="9"/>
        <v>166510.40056019265</v>
      </c>
      <c r="X55" s="10">
        <f t="shared" si="9"/>
        <v>165105.65516775736</v>
      </c>
      <c r="Y55" s="10">
        <f t="shared" si="9"/>
        <v>163701.27032077863</v>
      </c>
      <c r="Z55" s="10">
        <f t="shared" si="9"/>
        <v>212772.72608786836</v>
      </c>
      <c r="AA55" s="10">
        <f t="shared" si="9"/>
        <v>215791.20277634435</v>
      </c>
      <c r="AB55" s="10">
        <f t="shared" si="9"/>
        <v>218857.27645212979</v>
      </c>
      <c r="AC55" s="10">
        <f t="shared" si="9"/>
        <v>221971.64320191229</v>
      </c>
      <c r="AD55" s="10">
        <f t="shared" si="9"/>
        <v>225135.00954961329</v>
      </c>
      <c r="AE55" s="10">
        <f t="shared" si="9"/>
        <v>0</v>
      </c>
      <c r="AF55" s="10">
        <f t="shared" si="9"/>
        <v>0</v>
      </c>
      <c r="AG55" s="10">
        <f t="shared" si="9"/>
        <v>0</v>
      </c>
      <c r="AH55" s="10">
        <f t="shared" si="9"/>
        <v>0</v>
      </c>
      <c r="AI55" s="10">
        <f t="shared" si="9"/>
        <v>0</v>
      </c>
    </row>
    <row r="56" spans="1:35" ht="18" customHeight="1" x14ac:dyDescent="0.2">
      <c r="A56" s="17" t="s">
        <v>32</v>
      </c>
      <c r="B56" s="17"/>
      <c r="C56" s="10"/>
      <c r="E56" s="10"/>
      <c r="F56" s="10">
        <f>IF(ProjectYear&lt;=projectlife,-OpCost_Yr*F$46*(1+OpCostAdj_Yr)^(ProjectYear-1),0)</f>
        <v>-10000</v>
      </c>
      <c r="G56" s="10">
        <f t="shared" ref="G56:AI56" si="10">IF(ProjectYear&lt;=projectlife,-OpCost_Yr*G$46*(1+OpCostAdj_Yr)^(ProjectYear-1),0)</f>
        <v>-10250</v>
      </c>
      <c r="H56" s="10">
        <f t="shared" si="10"/>
        <v>-10506.25</v>
      </c>
      <c r="I56" s="10">
        <f t="shared" si="10"/>
        <v>-10768.906249999998</v>
      </c>
      <c r="J56" s="10">
        <f t="shared" si="10"/>
        <v>-11038.128906249998</v>
      </c>
      <c r="K56" s="10">
        <f t="shared" si="10"/>
        <v>-11314.082128906246</v>
      </c>
      <c r="L56" s="10">
        <f t="shared" si="10"/>
        <v>-11596.934182128902</v>
      </c>
      <c r="M56" s="10">
        <f t="shared" si="10"/>
        <v>-11886.857536682124</v>
      </c>
      <c r="N56" s="10">
        <f t="shared" si="10"/>
        <v>-12184.028975099178</v>
      </c>
      <c r="O56" s="10">
        <f t="shared" si="10"/>
        <v>-12488.629699476654</v>
      </c>
      <c r="P56" s="10">
        <f t="shared" si="10"/>
        <v>-12800.845441963571</v>
      </c>
      <c r="Q56" s="10">
        <f t="shared" si="10"/>
        <v>-13120.866578012659</v>
      </c>
      <c r="R56" s="10">
        <f t="shared" si="10"/>
        <v>-13448.888242462976</v>
      </c>
      <c r="S56" s="10">
        <f t="shared" si="10"/>
        <v>-13785.110448524549</v>
      </c>
      <c r="T56" s="10">
        <f t="shared" si="10"/>
        <v>-14129.738209737661</v>
      </c>
      <c r="U56" s="10">
        <f t="shared" si="10"/>
        <v>-14482.981664981105</v>
      </c>
      <c r="V56" s="10">
        <f t="shared" si="10"/>
        <v>-14845.056206605632</v>
      </c>
      <c r="W56" s="10">
        <f t="shared" si="10"/>
        <v>-15216.18261177077</v>
      </c>
      <c r="X56" s="10">
        <f t="shared" si="10"/>
        <v>-15596.587177065039</v>
      </c>
      <c r="Y56" s="10">
        <f t="shared" si="10"/>
        <v>-15986.501856491666</v>
      </c>
      <c r="Z56" s="10">
        <f t="shared" si="10"/>
        <v>-16386.164402903956</v>
      </c>
      <c r="AA56" s="10">
        <f t="shared" si="10"/>
        <v>-16795.818512976552</v>
      </c>
      <c r="AB56" s="10">
        <f t="shared" si="10"/>
        <v>-17215.713975800965</v>
      </c>
      <c r="AC56" s="10">
        <f t="shared" si="10"/>
        <v>-17646.106825195991</v>
      </c>
      <c r="AD56" s="10">
        <f t="shared" si="10"/>
        <v>-18087.259495825889</v>
      </c>
      <c r="AE56" s="10">
        <f t="shared" si="10"/>
        <v>0</v>
      </c>
      <c r="AF56" s="10">
        <f t="shared" si="10"/>
        <v>0</v>
      </c>
      <c r="AG56" s="10">
        <f t="shared" si="10"/>
        <v>0</v>
      </c>
      <c r="AH56" s="10">
        <f t="shared" si="10"/>
        <v>0</v>
      </c>
      <c r="AI56" s="10">
        <f t="shared" si="10"/>
        <v>0</v>
      </c>
    </row>
    <row r="57" spans="1:35" ht="18" customHeight="1" x14ac:dyDescent="0.2">
      <c r="A57" s="18" t="s">
        <v>30</v>
      </c>
      <c r="B57" s="18"/>
      <c r="C57" s="10"/>
      <c r="E57" s="10"/>
      <c r="F57" s="10">
        <f t="shared" ref="F57:AI57" si="11">IF(ProjectYear&lt;=projectlife,IF(F$44/ReplaceInverterYear=ROUND(F$44/ReplaceInverterYear,0),-InverterReplaceCost*SystemSize*F$46,0),0)</f>
        <v>0</v>
      </c>
      <c r="G57" s="10">
        <f t="shared" si="11"/>
        <v>0</v>
      </c>
      <c r="H57" s="10">
        <f t="shared" si="11"/>
        <v>0</v>
      </c>
      <c r="I57" s="10">
        <f t="shared" si="11"/>
        <v>0</v>
      </c>
      <c r="J57" s="10">
        <f t="shared" si="11"/>
        <v>0</v>
      </c>
      <c r="K57" s="10">
        <f t="shared" si="11"/>
        <v>0</v>
      </c>
      <c r="L57" s="10">
        <f t="shared" si="11"/>
        <v>0</v>
      </c>
      <c r="M57" s="10">
        <f t="shared" si="11"/>
        <v>0</v>
      </c>
      <c r="N57" s="10">
        <f t="shared" si="11"/>
        <v>0</v>
      </c>
      <c r="O57" s="10">
        <f t="shared" si="11"/>
        <v>-70000</v>
      </c>
      <c r="P57" s="10">
        <f t="shared" si="11"/>
        <v>0</v>
      </c>
      <c r="Q57" s="10">
        <f t="shared" si="11"/>
        <v>0</v>
      </c>
      <c r="R57" s="10">
        <f t="shared" si="11"/>
        <v>0</v>
      </c>
      <c r="S57" s="10">
        <f t="shared" si="11"/>
        <v>0</v>
      </c>
      <c r="T57" s="10">
        <f t="shared" si="11"/>
        <v>0</v>
      </c>
      <c r="U57" s="10">
        <f t="shared" si="11"/>
        <v>0</v>
      </c>
      <c r="V57" s="10">
        <f t="shared" si="11"/>
        <v>0</v>
      </c>
      <c r="W57" s="10">
        <f t="shared" si="11"/>
        <v>0</v>
      </c>
      <c r="X57" s="10">
        <f t="shared" si="11"/>
        <v>0</v>
      </c>
      <c r="Y57" s="10">
        <f t="shared" si="11"/>
        <v>-70000</v>
      </c>
      <c r="Z57" s="10">
        <f t="shared" si="11"/>
        <v>0</v>
      </c>
      <c r="AA57" s="10">
        <f t="shared" si="11"/>
        <v>0</v>
      </c>
      <c r="AB57" s="10">
        <f t="shared" si="11"/>
        <v>0</v>
      </c>
      <c r="AC57" s="10">
        <f t="shared" si="11"/>
        <v>0</v>
      </c>
      <c r="AD57" s="10">
        <f t="shared" si="11"/>
        <v>0</v>
      </c>
      <c r="AE57" s="10">
        <f t="shared" si="11"/>
        <v>0</v>
      </c>
      <c r="AF57" s="10">
        <f t="shared" si="11"/>
        <v>0</v>
      </c>
      <c r="AG57" s="10">
        <f t="shared" si="11"/>
        <v>0</v>
      </c>
      <c r="AH57" s="10">
        <f t="shared" si="11"/>
        <v>0</v>
      </c>
      <c r="AI57" s="10">
        <f t="shared" si="11"/>
        <v>0</v>
      </c>
    </row>
    <row r="58" spans="1:35" ht="18" customHeight="1" x14ac:dyDescent="0.2">
      <c r="A58" s="37" t="s">
        <v>33</v>
      </c>
      <c r="B58" s="37"/>
      <c r="C58" s="10"/>
      <c r="E58" s="10">
        <f>E56+E57</f>
        <v>0</v>
      </c>
      <c r="F58" s="10">
        <f>F56+F57</f>
        <v>-10000</v>
      </c>
      <c r="G58" s="10">
        <f t="shared" ref="G58:AI58" si="12">G56+G57</f>
        <v>-10250</v>
      </c>
      <c r="H58" s="10">
        <f t="shared" si="12"/>
        <v>-10506.25</v>
      </c>
      <c r="I58" s="10">
        <f t="shared" si="12"/>
        <v>-10768.906249999998</v>
      </c>
      <c r="J58" s="10">
        <f t="shared" si="12"/>
        <v>-11038.128906249998</v>
      </c>
      <c r="K58" s="10">
        <f t="shared" si="12"/>
        <v>-11314.082128906246</v>
      </c>
      <c r="L58" s="10">
        <f t="shared" si="12"/>
        <v>-11596.934182128902</v>
      </c>
      <c r="M58" s="10">
        <f t="shared" si="12"/>
        <v>-11886.857536682124</v>
      </c>
      <c r="N58" s="10">
        <f t="shared" si="12"/>
        <v>-12184.028975099178</v>
      </c>
      <c r="O58" s="10">
        <f t="shared" si="12"/>
        <v>-82488.62969947666</v>
      </c>
      <c r="P58" s="10">
        <f t="shared" si="12"/>
        <v>-12800.845441963571</v>
      </c>
      <c r="Q58" s="10">
        <f t="shared" si="12"/>
        <v>-13120.866578012659</v>
      </c>
      <c r="R58" s="10">
        <f t="shared" si="12"/>
        <v>-13448.888242462976</v>
      </c>
      <c r="S58" s="10">
        <f t="shared" si="12"/>
        <v>-13785.110448524549</v>
      </c>
      <c r="T58" s="10">
        <f t="shared" si="12"/>
        <v>-14129.738209737661</v>
      </c>
      <c r="U58" s="10">
        <f t="shared" si="12"/>
        <v>-14482.981664981105</v>
      </c>
      <c r="V58" s="10">
        <f t="shared" si="12"/>
        <v>-14845.056206605632</v>
      </c>
      <c r="W58" s="10">
        <f t="shared" si="12"/>
        <v>-15216.18261177077</v>
      </c>
      <c r="X58" s="10">
        <f t="shared" si="12"/>
        <v>-15596.587177065039</v>
      </c>
      <c r="Y58" s="10">
        <f t="shared" si="12"/>
        <v>-85986.501856491668</v>
      </c>
      <c r="Z58" s="10">
        <f t="shared" si="12"/>
        <v>-16386.164402903956</v>
      </c>
      <c r="AA58" s="10">
        <f t="shared" si="12"/>
        <v>-16795.818512976552</v>
      </c>
      <c r="AB58" s="10">
        <f t="shared" si="12"/>
        <v>-17215.713975800965</v>
      </c>
      <c r="AC58" s="10">
        <f t="shared" si="12"/>
        <v>-17646.106825195991</v>
      </c>
      <c r="AD58" s="10">
        <f t="shared" si="12"/>
        <v>-18087.259495825889</v>
      </c>
      <c r="AE58" s="10">
        <f t="shared" si="12"/>
        <v>0</v>
      </c>
      <c r="AF58" s="10">
        <f t="shared" si="12"/>
        <v>0</v>
      </c>
      <c r="AG58" s="10">
        <f t="shared" si="12"/>
        <v>0</v>
      </c>
      <c r="AH58" s="10">
        <f t="shared" si="12"/>
        <v>0</v>
      </c>
      <c r="AI58" s="10">
        <f t="shared" si="12"/>
        <v>0</v>
      </c>
    </row>
    <row r="59" spans="1:35" ht="18" customHeight="1" x14ac:dyDescent="0.2">
      <c r="A59" s="81" t="s">
        <v>99</v>
      </c>
      <c r="B59" s="81" t="s">
        <v>35</v>
      </c>
      <c r="C59" s="10"/>
      <c r="E59" s="10">
        <f t="shared" ref="E59:AI59" si="13">E55+E58</f>
        <v>0</v>
      </c>
      <c r="F59" s="10">
        <f>F55+F58</f>
        <v>180539.8</v>
      </c>
      <c r="G59" s="10">
        <f t="shared" si="13"/>
        <v>178864.32462000003</v>
      </c>
      <c r="H59" s="10">
        <f>H55+H58</f>
        <v>177184.54474883803</v>
      </c>
      <c r="I59" s="10">
        <f t="shared" si="13"/>
        <v>175500.21719913572</v>
      </c>
      <c r="J59" s="10">
        <f t="shared" si="13"/>
        <v>173811.09416152514</v>
      </c>
      <c r="K59" s="10">
        <f t="shared" si="13"/>
        <v>172116.92309342982</v>
      </c>
      <c r="L59" s="10">
        <f t="shared" si="13"/>
        <v>170417.4466052168</v>
      </c>
      <c r="M59" s="10">
        <f t="shared" si="13"/>
        <v>168712.40234365582</v>
      </c>
      <c r="N59" s="10">
        <f t="shared" si="13"/>
        <v>167001.52287262035</v>
      </c>
      <c r="O59" s="10">
        <f t="shared" si="13"/>
        <v>95284.535550962566</v>
      </c>
      <c r="P59" s="10">
        <f t="shared" si="13"/>
        <v>163561.16240749494</v>
      </c>
      <c r="Q59" s="10">
        <f t="shared" si="13"/>
        <v>161831.12001300661</v>
      </c>
      <c r="R59" s="10">
        <f t="shared" si="13"/>
        <v>160094.11934924326</v>
      </c>
      <c r="S59" s="10">
        <f t="shared" si="13"/>
        <v>158349.86567477649</v>
      </c>
      <c r="T59" s="10">
        <f t="shared" si="13"/>
        <v>156598.05838768659</v>
      </c>
      <c r="U59" s="10">
        <f t="shared" si="13"/>
        <v>154838.39088498132</v>
      </c>
      <c r="V59" s="10">
        <f t="shared" si="13"/>
        <v>153070.55041867163</v>
      </c>
      <c r="W59" s="10">
        <f t="shared" si="13"/>
        <v>151294.21794842187</v>
      </c>
      <c r="X59" s="10">
        <f t="shared" si="13"/>
        <v>149509.06799069233</v>
      </c>
      <c r="Y59" s="10">
        <f t="shared" si="13"/>
        <v>77714.768464286957</v>
      </c>
      <c r="Z59" s="10">
        <f t="shared" si="13"/>
        <v>196386.5616849644</v>
      </c>
      <c r="AA59" s="10">
        <f t="shared" si="13"/>
        <v>198995.3842633678</v>
      </c>
      <c r="AB59" s="10">
        <f t="shared" si="13"/>
        <v>201641.56247632884</v>
      </c>
      <c r="AC59" s="10">
        <f t="shared" si="13"/>
        <v>204325.53637671631</v>
      </c>
      <c r="AD59" s="10">
        <f t="shared" si="13"/>
        <v>207047.7500537874</v>
      </c>
      <c r="AE59" s="10">
        <f t="shared" si="13"/>
        <v>0</v>
      </c>
      <c r="AF59" s="10">
        <f t="shared" si="13"/>
        <v>0</v>
      </c>
      <c r="AG59" s="10">
        <f t="shared" si="13"/>
        <v>0</v>
      </c>
      <c r="AH59" s="10">
        <f t="shared" si="13"/>
        <v>0</v>
      </c>
      <c r="AI59" s="10">
        <f t="shared" si="13"/>
        <v>0</v>
      </c>
    </row>
    <row r="60" spans="1:35" s="5" customFormat="1" ht="18" customHeight="1" x14ac:dyDescent="0.2">
      <c r="A60" s="46" t="s">
        <v>56</v>
      </c>
      <c r="B60" s="46"/>
      <c r="C60" s="56"/>
      <c r="E60" s="56"/>
      <c r="F60" s="56">
        <f>IF($B$9="Non-Taxable",0,-(AssetBasis)*F$46*DEP_01)</f>
        <v>-365400</v>
      </c>
      <c r="G60" s="56">
        <f>IF($B$9="Non-Taxable",0,-(AssetBasis)*G$46*Dep_02)</f>
        <v>-584640</v>
      </c>
      <c r="H60" s="56">
        <f>IF($B$9="Non-Taxable",0,-(AssetBasis)*H$46*Dep_03)</f>
        <v>-350784</v>
      </c>
      <c r="I60" s="56">
        <f>IF($B$9="Non-Taxable",0,-(AssetBasis)*I$46*DEP_04)</f>
        <v>-210470.39999999999</v>
      </c>
      <c r="J60" s="56">
        <f>IF($B$9="Non-Taxable",0,-(AssetBasis)*J$46*DEP_05)</f>
        <v>-210470.39999999999</v>
      </c>
      <c r="K60" s="56">
        <f>IF($B$9="Non-Taxable",0,-(AssetBasis)*K$46*DEP_06)</f>
        <v>-105235.2</v>
      </c>
      <c r="L60" s="56">
        <f>IF($B$9="Non-Taxable",0,-(AssetBasis)*L$46*DEP_07)</f>
        <v>0</v>
      </c>
      <c r="M60" s="56">
        <f>IF($B$9="Non-Taxable",0,-(AssetBasis)*M$46*DEP_08)</f>
        <v>0</v>
      </c>
      <c r="N60" s="56">
        <f>IF($B$9="Non-Taxable",0,-(AssetBasis)*N$46*DEP_09)</f>
        <v>0</v>
      </c>
      <c r="O60" s="56">
        <f>IF($B$9="Non-Taxable",0,-(AssetBasis)*O$46*DEP_10)</f>
        <v>0</v>
      </c>
      <c r="P60" s="56">
        <f>IF($B$9="Non-Taxable",0,-(AssetBasis)*P$46*DEP_11)</f>
        <v>0</v>
      </c>
      <c r="Q60" s="56">
        <f>IF($B$9="Non-Taxable",0,-(AssetBasis)*Q$46*DEP_12)</f>
        <v>0</v>
      </c>
      <c r="R60" s="56">
        <f>IF($B$9="Non-Taxable",0,-(AssetBasis)*R$46*DEP_13)</f>
        <v>0</v>
      </c>
      <c r="S60" s="56">
        <f>IF($B$9="Non-Taxable",0,-(AssetBasis)*S$46*DEP_14)</f>
        <v>0</v>
      </c>
      <c r="T60" s="56">
        <f>IF($B$9="Non-Taxable",0,-(AssetBasis)*T$46*DEP_15)</f>
        <v>0</v>
      </c>
      <c r="U60" s="56">
        <f>IF($B$9="Non-Taxable",0,-(AssetBasis)*U$46*DEP_16)</f>
        <v>0</v>
      </c>
      <c r="V60" s="56">
        <f>IF($B$9="Non-Taxable",0,-(AssetBasis)*V$46*DEP_17)</f>
        <v>0</v>
      </c>
      <c r="W60" s="56">
        <f>IF($B$9="Non-Taxable",0,-(AssetBasis)*W$46*DEP_18)</f>
        <v>0</v>
      </c>
      <c r="X60" s="56">
        <f>IF($B$9="Non-Taxable",0,-(AssetBasis)*X$46*DEP_19)</f>
        <v>0</v>
      </c>
      <c r="Y60" s="56">
        <f>IF($B$9="Non-Taxable",0,-(AssetBasis)*Y$46*DEP_20)</f>
        <v>0</v>
      </c>
      <c r="Z60" s="56">
        <f>IF($B$9="Non-Taxable",0,-(AssetBasis)*Z$46*DEP_21)</f>
        <v>0</v>
      </c>
      <c r="AA60" s="56">
        <f>IF($B$9="Non-Taxable",0,-(AssetBasis)*AA$46*DEP_22)</f>
        <v>0</v>
      </c>
      <c r="AB60" s="56">
        <f>IF($B$9="Non-Taxable",0,-(AssetBasis)*AB$46*DEP_23)</f>
        <v>0</v>
      </c>
      <c r="AC60" s="56">
        <f>IF($B$9="Non-Taxable",0,-(AssetBasis)*AC$46*DEP_24)</f>
        <v>0</v>
      </c>
      <c r="AD60" s="56">
        <f>IF($B$9="Non-Taxable",0,-(AssetBasis)*AD$46*DEP_25)</f>
        <v>0</v>
      </c>
      <c r="AE60" s="56">
        <f>IF($B$9="Non-Taxable",0,-(AssetBasis)*AE$46*DEP_26)</f>
        <v>0</v>
      </c>
      <c r="AF60" s="56">
        <f>IF($B$9="Non-Taxable",0,-(AssetBasis)*AF$46*DEP_27)</f>
        <v>0</v>
      </c>
      <c r="AG60" s="56">
        <f>IF($B$9="Non-Taxable",0,-(AssetBasis)*AG$46*DEP_28)</f>
        <v>0</v>
      </c>
      <c r="AH60" s="56">
        <f>IF($B$9="Non-Taxable",0,-(AssetBasis)*AH$46*DEP_29)</f>
        <v>0</v>
      </c>
      <c r="AI60" s="56">
        <f>IF($B$9="Non-Taxable",0,-(AssetBasis)*AI$46*DEP_30)</f>
        <v>0</v>
      </c>
    </row>
    <row r="61" spans="1:35" s="5" customFormat="1" ht="18" customHeight="1" x14ac:dyDescent="0.2">
      <c r="A61" s="80"/>
      <c r="B61" s="80" t="s">
        <v>37</v>
      </c>
      <c r="C61" s="56"/>
      <c r="E61" s="56">
        <f>SUM(E59:E60)</f>
        <v>0</v>
      </c>
      <c r="F61" s="56">
        <f>SUM(F59:F60)</f>
        <v>-184860.2</v>
      </c>
      <c r="G61" s="56">
        <f t="shared" ref="G61:AI61" si="14">SUM(G59:G60)</f>
        <v>-405775.67537999997</v>
      </c>
      <c r="H61" s="56">
        <f t="shared" si="14"/>
        <v>-173599.45525116197</v>
      </c>
      <c r="I61" s="56">
        <f t="shared" si="14"/>
        <v>-34970.182800864277</v>
      </c>
      <c r="J61" s="56">
        <f t="shared" si="14"/>
        <v>-36659.305838474858</v>
      </c>
      <c r="K61" s="56">
        <f>SUM(K59:K60)</f>
        <v>66881.723093429828</v>
      </c>
      <c r="L61" s="56">
        <f t="shared" si="14"/>
        <v>170417.4466052168</v>
      </c>
      <c r="M61" s="56">
        <f t="shared" si="14"/>
        <v>168712.40234365582</v>
      </c>
      <c r="N61" s="56">
        <f t="shared" si="14"/>
        <v>167001.52287262035</v>
      </c>
      <c r="O61" s="56">
        <f t="shared" si="14"/>
        <v>95284.535550962566</v>
      </c>
      <c r="P61" s="56">
        <f t="shared" si="14"/>
        <v>163561.16240749494</v>
      </c>
      <c r="Q61" s="56">
        <f t="shared" si="14"/>
        <v>161831.12001300661</v>
      </c>
      <c r="R61" s="56">
        <f t="shared" si="14"/>
        <v>160094.11934924326</v>
      </c>
      <c r="S61" s="56">
        <f t="shared" si="14"/>
        <v>158349.86567477649</v>
      </c>
      <c r="T61" s="56">
        <f t="shared" si="14"/>
        <v>156598.05838768659</v>
      </c>
      <c r="U61" s="56">
        <f t="shared" si="14"/>
        <v>154838.39088498132</v>
      </c>
      <c r="V61" s="56">
        <f t="shared" si="14"/>
        <v>153070.55041867163</v>
      </c>
      <c r="W61" s="56">
        <f t="shared" si="14"/>
        <v>151294.21794842187</v>
      </c>
      <c r="X61" s="56">
        <f t="shared" si="14"/>
        <v>149509.06799069233</v>
      </c>
      <c r="Y61" s="56">
        <f t="shared" si="14"/>
        <v>77714.768464286957</v>
      </c>
      <c r="Z61" s="56">
        <f t="shared" si="14"/>
        <v>196386.5616849644</v>
      </c>
      <c r="AA61" s="56">
        <f t="shared" si="14"/>
        <v>198995.3842633678</v>
      </c>
      <c r="AB61" s="56">
        <f t="shared" si="14"/>
        <v>201641.56247632884</v>
      </c>
      <c r="AC61" s="56">
        <f t="shared" si="14"/>
        <v>204325.53637671631</v>
      </c>
      <c r="AD61" s="56">
        <f t="shared" si="14"/>
        <v>207047.7500537874</v>
      </c>
      <c r="AE61" s="56">
        <f t="shared" si="14"/>
        <v>0</v>
      </c>
      <c r="AF61" s="56">
        <f t="shared" si="14"/>
        <v>0</v>
      </c>
      <c r="AG61" s="56">
        <f t="shared" si="14"/>
        <v>0</v>
      </c>
      <c r="AH61" s="56">
        <f t="shared" si="14"/>
        <v>0</v>
      </c>
      <c r="AI61" s="56">
        <f t="shared" si="14"/>
        <v>0</v>
      </c>
    </row>
    <row r="62" spans="1:35" s="5" customFormat="1" ht="18" customHeight="1" x14ac:dyDescent="0.2">
      <c r="A62" s="46" t="s">
        <v>38</v>
      </c>
      <c r="B62" s="46"/>
      <c r="C62" s="56"/>
      <c r="E62" s="56"/>
      <c r="F62" s="56">
        <f t="shared" ref="F62:AI62" si="15">Interest</f>
        <v>-55944</v>
      </c>
      <c r="G62" s="56">
        <f t="shared" si="15"/>
        <v>-53540.491133283984</v>
      </c>
      <c r="H62" s="56">
        <f t="shared" si="15"/>
        <v>-50992.771734565009</v>
      </c>
      <c r="I62" s="56">
        <f t="shared" si="15"/>
        <v>-48292.189171922895</v>
      </c>
      <c r="J62" s="56">
        <f t="shared" si="15"/>
        <v>-45429.571655522261</v>
      </c>
      <c r="K62" s="56">
        <f t="shared" si="15"/>
        <v>-42395.197088137582</v>
      </c>
      <c r="L62" s="56">
        <f t="shared" si="15"/>
        <v>-39178.760046709824</v>
      </c>
      <c r="M62" s="56">
        <f t="shared" si="15"/>
        <v>-35769.336782796403</v>
      </c>
      <c r="N62" s="56">
        <f t="shared" si="15"/>
        <v>-32155.348123048174</v>
      </c>
      <c r="O62" s="56">
        <f t="shared" si="15"/>
        <v>-28324.52014371505</v>
      </c>
      <c r="P62" s="56">
        <f t="shared" si="15"/>
        <v>-24263.842485621943</v>
      </c>
      <c r="Q62" s="56">
        <f t="shared" si="15"/>
        <v>-19959.524168043245</v>
      </c>
      <c r="R62" s="56">
        <f t="shared" si="15"/>
        <v>-15396.946751409825</v>
      </c>
      <c r="S62" s="56">
        <f t="shared" si="15"/>
        <v>-10560.614689778402</v>
      </c>
      <c r="T62" s="56">
        <f t="shared" si="15"/>
        <v>-5434.102704449092</v>
      </c>
      <c r="U62" s="56">
        <f t="shared" si="15"/>
        <v>0</v>
      </c>
      <c r="V62" s="56">
        <f t="shared" si="15"/>
        <v>0</v>
      </c>
      <c r="W62" s="56">
        <f t="shared" si="15"/>
        <v>0</v>
      </c>
      <c r="X62" s="56">
        <f t="shared" si="15"/>
        <v>0</v>
      </c>
      <c r="Y62" s="56">
        <f t="shared" si="15"/>
        <v>0</v>
      </c>
      <c r="Z62" s="56">
        <f t="shared" si="15"/>
        <v>0</v>
      </c>
      <c r="AA62" s="56">
        <f t="shared" si="15"/>
        <v>0</v>
      </c>
      <c r="AB62" s="56">
        <f t="shared" si="15"/>
        <v>0</v>
      </c>
      <c r="AC62" s="56">
        <f t="shared" si="15"/>
        <v>0</v>
      </c>
      <c r="AD62" s="56">
        <f t="shared" si="15"/>
        <v>0</v>
      </c>
      <c r="AE62" s="56">
        <f t="shared" si="15"/>
        <v>0</v>
      </c>
      <c r="AF62" s="56">
        <f t="shared" si="15"/>
        <v>0</v>
      </c>
      <c r="AG62" s="56">
        <f t="shared" si="15"/>
        <v>0</v>
      </c>
      <c r="AH62" s="56">
        <f t="shared" si="15"/>
        <v>0</v>
      </c>
      <c r="AI62" s="56">
        <f t="shared" si="15"/>
        <v>0</v>
      </c>
    </row>
    <row r="63" spans="1:35" s="5" customFormat="1" ht="18" customHeight="1" x14ac:dyDescent="0.2">
      <c r="A63" s="80"/>
      <c r="B63" s="80" t="s">
        <v>39</v>
      </c>
      <c r="C63" s="56"/>
      <c r="E63" s="56">
        <f>E61+E62</f>
        <v>0</v>
      </c>
      <c r="F63" s="56">
        <f>F61+F62</f>
        <v>-240804.2</v>
      </c>
      <c r="G63" s="56">
        <f t="shared" ref="G63:AI63" si="16">G61+G62</f>
        <v>-459316.16651328397</v>
      </c>
      <c r="H63" s="56">
        <f t="shared" si="16"/>
        <v>-224592.22698572697</v>
      </c>
      <c r="I63" s="56">
        <f t="shared" si="16"/>
        <v>-83262.371972787165</v>
      </c>
      <c r="J63" s="56">
        <f>J61+J62</f>
        <v>-82088.877493997119</v>
      </c>
      <c r="K63" s="56">
        <f>K61+K62</f>
        <v>24486.526005292246</v>
      </c>
      <c r="L63" s="56">
        <f t="shared" si="16"/>
        <v>131238.68655850698</v>
      </c>
      <c r="M63" s="56">
        <f t="shared" si="16"/>
        <v>132943.06556085942</v>
      </c>
      <c r="N63" s="56">
        <f t="shared" si="16"/>
        <v>134846.17474957218</v>
      </c>
      <c r="O63" s="56">
        <f t="shared" si="16"/>
        <v>66960.015407247512</v>
      </c>
      <c r="P63" s="56">
        <f t="shared" si="16"/>
        <v>139297.31992187299</v>
      </c>
      <c r="Q63" s="56">
        <f t="shared" si="16"/>
        <v>141871.59584496336</v>
      </c>
      <c r="R63" s="56">
        <f t="shared" si="16"/>
        <v>144697.17259783344</v>
      </c>
      <c r="S63" s="56">
        <f t="shared" si="16"/>
        <v>147789.2509849981</v>
      </c>
      <c r="T63" s="56">
        <f t="shared" si="16"/>
        <v>151163.95568323749</v>
      </c>
      <c r="U63" s="56">
        <f t="shared" si="16"/>
        <v>154838.39088498132</v>
      </c>
      <c r="V63" s="56">
        <f t="shared" si="16"/>
        <v>153070.55041867163</v>
      </c>
      <c r="W63" s="56">
        <f t="shared" si="16"/>
        <v>151294.21794842187</v>
      </c>
      <c r="X63" s="56">
        <f t="shared" si="16"/>
        <v>149509.06799069233</v>
      </c>
      <c r="Y63" s="56">
        <f t="shared" si="16"/>
        <v>77714.768464286957</v>
      </c>
      <c r="Z63" s="56">
        <f t="shared" si="16"/>
        <v>196386.5616849644</v>
      </c>
      <c r="AA63" s="56">
        <f t="shared" si="16"/>
        <v>198995.3842633678</v>
      </c>
      <c r="AB63" s="56">
        <f t="shared" si="16"/>
        <v>201641.56247632884</v>
      </c>
      <c r="AC63" s="56">
        <f t="shared" si="16"/>
        <v>204325.53637671631</v>
      </c>
      <c r="AD63" s="56">
        <f t="shared" si="16"/>
        <v>207047.7500537874</v>
      </c>
      <c r="AE63" s="56">
        <f t="shared" si="16"/>
        <v>0</v>
      </c>
      <c r="AF63" s="56">
        <f t="shared" si="16"/>
        <v>0</v>
      </c>
      <c r="AG63" s="56">
        <f t="shared" si="16"/>
        <v>0</v>
      </c>
      <c r="AH63" s="56">
        <f t="shared" si="16"/>
        <v>0</v>
      </c>
      <c r="AI63" s="56">
        <f t="shared" si="16"/>
        <v>0</v>
      </c>
    </row>
    <row r="64" spans="1:35" s="30" customFormat="1" ht="18" customHeight="1" x14ac:dyDescent="0.2">
      <c r="A64" s="46" t="s">
        <v>57</v>
      </c>
      <c r="B64" s="46"/>
      <c r="C64" s="56"/>
      <c r="E64" s="56">
        <f t="shared" ref="E64" si="17">IF(taxable="Taxable (Corporation)",IF(StateTaxAdj&gt;=0,-EBT*FedTaxRate,(-EBT*FedTaxRate)-(StateTaxAdj*FedTaxRate)),0)</f>
        <v>0</v>
      </c>
      <c r="F64" s="56">
        <f t="shared" ref="F64:AI64" si="18">IF(taxable="Non-Taxable",0,IF(StateTaxAdj&gt;=0,-EBT*FedTaxRate,(-EBT*FedTaxRate)-(StateTaxAdj*FedTaxRate)))</f>
        <v>52662.091439999997</v>
      </c>
      <c r="G64" s="56">
        <f t="shared" si="18"/>
        <v>98561.835370366462</v>
      </c>
      <c r="H64" s="56">
        <f t="shared" si="18"/>
        <v>49284.389453642449</v>
      </c>
      <c r="I64" s="56">
        <f t="shared" si="18"/>
        <v>19622.192985142479</v>
      </c>
      <c r="J64" s="56">
        <f t="shared" si="18"/>
        <v>19395.473851840245</v>
      </c>
      <c r="K64" s="56">
        <f t="shared" si="18"/>
        <v>-2962.8454642224624</v>
      </c>
      <c r="L64" s="56">
        <f t="shared" si="18"/>
        <v>-25355.314243103545</v>
      </c>
      <c r="M64" s="56">
        <f t="shared" si="18"/>
        <v>-25684.600266358037</v>
      </c>
      <c r="N64" s="56">
        <f t="shared" si="18"/>
        <v>-26052.280961617344</v>
      </c>
      <c r="O64" s="56">
        <f t="shared" si="18"/>
        <v>-12936.67497668022</v>
      </c>
      <c r="P64" s="56">
        <f t="shared" si="18"/>
        <v>-26912.24220890586</v>
      </c>
      <c r="Q64" s="56">
        <f t="shared" si="18"/>
        <v>-27409.592317246919</v>
      </c>
      <c r="R64" s="56">
        <f t="shared" si="18"/>
        <v>-27955.493745901422</v>
      </c>
      <c r="S64" s="56">
        <f t="shared" si="18"/>
        <v>-28552.88329030163</v>
      </c>
      <c r="T64" s="56">
        <f t="shared" si="18"/>
        <v>-29204.876238001485</v>
      </c>
      <c r="U64" s="56">
        <f t="shared" si="18"/>
        <v>-29914.777118978389</v>
      </c>
      <c r="V64" s="56">
        <f t="shared" si="18"/>
        <v>-29573.230340887356</v>
      </c>
      <c r="W64" s="56">
        <f t="shared" si="18"/>
        <v>-29230.042907635103</v>
      </c>
      <c r="X64" s="56">
        <f t="shared" si="18"/>
        <v>-28885.151935801758</v>
      </c>
      <c r="Y64" s="56">
        <f t="shared" si="18"/>
        <v>-15014.49326730024</v>
      </c>
      <c r="Z64" s="56">
        <f t="shared" si="18"/>
        <v>-37941.883717535122</v>
      </c>
      <c r="AA64" s="56">
        <f t="shared" si="18"/>
        <v>-38445.908239682656</v>
      </c>
      <c r="AB64" s="56">
        <f t="shared" si="18"/>
        <v>-38957.149870426729</v>
      </c>
      <c r="AC64" s="56">
        <f t="shared" si="18"/>
        <v>-39475.693627981593</v>
      </c>
      <c r="AD64" s="56">
        <f t="shared" si="18"/>
        <v>-40001.625310391726</v>
      </c>
      <c r="AE64" s="56">
        <f t="shared" si="18"/>
        <v>0</v>
      </c>
      <c r="AF64" s="56">
        <f t="shared" si="18"/>
        <v>0</v>
      </c>
      <c r="AG64" s="56">
        <f t="shared" si="18"/>
        <v>0</v>
      </c>
      <c r="AH64" s="56">
        <f t="shared" si="18"/>
        <v>0</v>
      </c>
      <c r="AI64" s="56">
        <f t="shared" si="18"/>
        <v>0</v>
      </c>
    </row>
    <row r="65" spans="1:35" s="30" customFormat="1" ht="18" customHeight="1" x14ac:dyDescent="0.2">
      <c r="A65" s="47" t="s">
        <v>58</v>
      </c>
      <c r="B65" s="47"/>
      <c r="C65" s="23"/>
      <c r="E65" s="23">
        <f t="shared" ref="E65" si="19">IF(taxable="Taxable (Corporation)",IF(ProjectYear&lt;=projectlife,-(EBT-FedDepr)*StateTaxRate,0),0)</f>
        <v>0</v>
      </c>
      <c r="F65" s="23">
        <f t="shared" ref="F65:AI65" si="20">IF(taxable="Non-Taxable",0,IF(ProjectYear&lt;=projectlife,-(EBT-FedDepr)*StateTaxRate,0))</f>
        <v>-9967.6639999999989</v>
      </c>
      <c r="G65" s="23">
        <f t="shared" si="20"/>
        <v>-10025.906678937283</v>
      </c>
      <c r="H65" s="23">
        <f t="shared" si="20"/>
        <v>-10095.341841141842</v>
      </c>
      <c r="I65" s="23">
        <f t="shared" si="20"/>
        <v>-10176.642242177026</v>
      </c>
      <c r="J65" s="23">
        <f t="shared" si="20"/>
        <v>-10270.52180048023</v>
      </c>
      <c r="K65" s="23">
        <f t="shared" si="20"/>
        <v>-10377.73808042338</v>
      </c>
      <c r="L65" s="23">
        <f t="shared" si="20"/>
        <v>-10499.094924680558</v>
      </c>
      <c r="M65" s="23">
        <f t="shared" si="20"/>
        <v>-10635.445244868753</v>
      </c>
      <c r="N65" s="23">
        <f t="shared" si="20"/>
        <v>-10787.693979965774</v>
      </c>
      <c r="O65" s="23">
        <f t="shared" si="20"/>
        <v>-5356.8012325798009</v>
      </c>
      <c r="P65" s="23">
        <f t="shared" si="20"/>
        <v>-11143.785593749839</v>
      </c>
      <c r="Q65" s="23">
        <f t="shared" si="20"/>
        <v>-11349.72766759707</v>
      </c>
      <c r="R65" s="23">
        <f t="shared" si="20"/>
        <v>-11575.773807826676</v>
      </c>
      <c r="S65" s="23">
        <f t="shared" si="20"/>
        <v>-11823.140078799848</v>
      </c>
      <c r="T65" s="23">
        <f t="shared" si="20"/>
        <v>-12093.116454658999</v>
      </c>
      <c r="U65" s="23">
        <f t="shared" si="20"/>
        <v>-12387.071270798506</v>
      </c>
      <c r="V65" s="23">
        <f t="shared" si="20"/>
        <v>-12245.644033493731</v>
      </c>
      <c r="W65" s="23">
        <f t="shared" si="20"/>
        <v>-12103.53743587375</v>
      </c>
      <c r="X65" s="23">
        <f t="shared" si="20"/>
        <v>-11960.725439255386</v>
      </c>
      <c r="Y65" s="23">
        <f t="shared" si="20"/>
        <v>-6217.1814771429563</v>
      </c>
      <c r="Z65" s="23">
        <f t="shared" si="20"/>
        <v>-15710.924934797153</v>
      </c>
      <c r="AA65" s="23">
        <f t="shared" si="20"/>
        <v>-15919.630741069424</v>
      </c>
      <c r="AB65" s="23">
        <f t="shared" si="20"/>
        <v>-16131.324998106307</v>
      </c>
      <c r="AC65" s="23">
        <f t="shared" si="20"/>
        <v>-16346.042910137305</v>
      </c>
      <c r="AD65" s="23">
        <f t="shared" si="20"/>
        <v>-16563.820004302994</v>
      </c>
      <c r="AE65" s="23">
        <f t="shared" si="20"/>
        <v>0</v>
      </c>
      <c r="AF65" s="23">
        <f t="shared" si="20"/>
        <v>0</v>
      </c>
      <c r="AG65" s="23">
        <f t="shared" si="20"/>
        <v>0</v>
      </c>
      <c r="AH65" s="23">
        <f t="shared" si="20"/>
        <v>0</v>
      </c>
      <c r="AI65" s="23">
        <f t="shared" si="20"/>
        <v>0</v>
      </c>
    </row>
    <row r="66" spans="1:35" s="21" customFormat="1" ht="18" customHeight="1" x14ac:dyDescent="0.25">
      <c r="A66" s="82" t="s">
        <v>40</v>
      </c>
      <c r="B66" s="83"/>
      <c r="C66" s="84"/>
      <c r="D66" s="84"/>
      <c r="E66" s="84">
        <f>SUM(E63:E65)</f>
        <v>0</v>
      </c>
      <c r="F66" s="84">
        <f>SUM(F63:F65)</f>
        <v>-198109.77256000001</v>
      </c>
      <c r="G66" s="84">
        <f t="shared" ref="G66:AI66" si="21">SUM(G63:G65)</f>
        <v>-370780.23782185477</v>
      </c>
      <c r="H66" s="84">
        <f t="shared" si="21"/>
        <v>-185403.17937322636</v>
      </c>
      <c r="I66" s="84">
        <f t="shared" si="21"/>
        <v>-73816.821229821711</v>
      </c>
      <c r="J66" s="84">
        <f t="shared" si="21"/>
        <v>-72963.925442637104</v>
      </c>
      <c r="K66" s="84">
        <f t="shared" si="21"/>
        <v>11145.942460646405</v>
      </c>
      <c r="L66" s="84">
        <f t="shared" si="21"/>
        <v>95384.277390722869</v>
      </c>
      <c r="M66" s="84">
        <f t="shared" si="21"/>
        <v>96623.020049632643</v>
      </c>
      <c r="N66" s="84">
        <f t="shared" si="21"/>
        <v>98006.199807989062</v>
      </c>
      <c r="O66" s="84">
        <f t="shared" si="21"/>
        <v>48666.539197987484</v>
      </c>
      <c r="P66" s="84">
        <f t="shared" si="21"/>
        <v>101241.29211921728</v>
      </c>
      <c r="Q66" s="84">
        <f t="shared" si="21"/>
        <v>103112.27586011938</v>
      </c>
      <c r="R66" s="84">
        <f t="shared" si="21"/>
        <v>105165.90504410536</v>
      </c>
      <c r="S66" s="84">
        <f t="shared" si="21"/>
        <v>107413.22761589663</v>
      </c>
      <c r="T66" s="84">
        <f t="shared" si="21"/>
        <v>109865.96299057701</v>
      </c>
      <c r="U66" s="84">
        <f t="shared" si="21"/>
        <v>112536.54249520443</v>
      </c>
      <c r="V66" s="84">
        <f t="shared" si="21"/>
        <v>111251.67604429054</v>
      </c>
      <c r="W66" s="84">
        <f t="shared" si="21"/>
        <v>109960.63760491302</v>
      </c>
      <c r="X66" s="84">
        <f t="shared" si="21"/>
        <v>108663.19061563519</v>
      </c>
      <c r="Y66" s="84">
        <f t="shared" si="21"/>
        <v>56483.09371984376</v>
      </c>
      <c r="Z66" s="84">
        <f t="shared" si="21"/>
        <v>142733.75303263211</v>
      </c>
      <c r="AA66" s="84">
        <f t="shared" si="21"/>
        <v>144629.84528261572</v>
      </c>
      <c r="AB66" s="84">
        <f t="shared" si="21"/>
        <v>146553.08760779581</v>
      </c>
      <c r="AC66" s="84">
        <f t="shared" si="21"/>
        <v>148503.79983859742</v>
      </c>
      <c r="AD66" s="84">
        <f t="shared" si="21"/>
        <v>150482.30473909265</v>
      </c>
      <c r="AE66" s="84">
        <f t="shared" si="21"/>
        <v>0</v>
      </c>
      <c r="AF66" s="84">
        <f t="shared" si="21"/>
        <v>0</v>
      </c>
      <c r="AG66" s="84">
        <f t="shared" si="21"/>
        <v>0</v>
      </c>
      <c r="AH66" s="84">
        <f t="shared" si="21"/>
        <v>0</v>
      </c>
      <c r="AI66" s="85">
        <f t="shared" si="21"/>
        <v>0</v>
      </c>
    </row>
    <row r="67" spans="1:35" s="5" customFormat="1" ht="18" customHeight="1" x14ac:dyDescent="0.25">
      <c r="A67" s="57" t="s">
        <v>53</v>
      </c>
      <c r="B67" s="57"/>
      <c r="C67" s="56"/>
      <c r="E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row>
    <row r="68" spans="1:35" s="5" customFormat="1" ht="18" customHeight="1" x14ac:dyDescent="0.25">
      <c r="A68" s="58" t="s">
        <v>103</v>
      </c>
      <c r="B68" s="58"/>
      <c r="C68" s="56"/>
      <c r="E68" s="56">
        <f t="shared" ref="E68:AI68" si="22">E66-E60</f>
        <v>0</v>
      </c>
      <c r="F68" s="56">
        <f>F66-F60</f>
        <v>167290.22743999999</v>
      </c>
      <c r="G68" s="56">
        <f t="shared" si="22"/>
        <v>213859.76217814523</v>
      </c>
      <c r="H68" s="56">
        <f t="shared" si="22"/>
        <v>165380.82062677364</v>
      </c>
      <c r="I68" s="56">
        <f t="shared" si="22"/>
        <v>136653.57877017828</v>
      </c>
      <c r="J68" s="56">
        <f t="shared" si="22"/>
        <v>137506.4745573629</v>
      </c>
      <c r="K68" s="56">
        <f t="shared" si="22"/>
        <v>116381.1424606464</v>
      </c>
      <c r="L68" s="56">
        <f t="shared" si="22"/>
        <v>95384.277390722869</v>
      </c>
      <c r="M68" s="56">
        <f t="shared" si="22"/>
        <v>96623.020049632643</v>
      </c>
      <c r="N68" s="56">
        <f t="shared" si="22"/>
        <v>98006.199807989062</v>
      </c>
      <c r="O68" s="56">
        <f t="shared" si="22"/>
        <v>48666.539197987484</v>
      </c>
      <c r="P68" s="56">
        <f t="shared" si="22"/>
        <v>101241.29211921728</v>
      </c>
      <c r="Q68" s="56">
        <f t="shared" si="22"/>
        <v>103112.27586011938</v>
      </c>
      <c r="R68" s="56">
        <f t="shared" si="22"/>
        <v>105165.90504410536</v>
      </c>
      <c r="S68" s="56">
        <f t="shared" si="22"/>
        <v>107413.22761589663</v>
      </c>
      <c r="T68" s="56">
        <f t="shared" si="22"/>
        <v>109865.96299057701</v>
      </c>
      <c r="U68" s="56">
        <f t="shared" si="22"/>
        <v>112536.54249520443</v>
      </c>
      <c r="V68" s="56">
        <f t="shared" si="22"/>
        <v>111251.67604429054</v>
      </c>
      <c r="W68" s="56">
        <f t="shared" si="22"/>
        <v>109960.63760491302</v>
      </c>
      <c r="X68" s="56">
        <f t="shared" si="22"/>
        <v>108663.19061563519</v>
      </c>
      <c r="Y68" s="56">
        <f t="shared" si="22"/>
        <v>56483.09371984376</v>
      </c>
      <c r="Z68" s="56">
        <f t="shared" si="22"/>
        <v>142733.75303263211</v>
      </c>
      <c r="AA68" s="56">
        <f t="shared" si="22"/>
        <v>144629.84528261572</v>
      </c>
      <c r="AB68" s="56">
        <f t="shared" si="22"/>
        <v>146553.08760779581</v>
      </c>
      <c r="AC68" s="56">
        <f t="shared" si="22"/>
        <v>148503.79983859742</v>
      </c>
      <c r="AD68" s="56">
        <f t="shared" si="22"/>
        <v>150482.30473909265</v>
      </c>
      <c r="AE68" s="56">
        <f t="shared" si="22"/>
        <v>0</v>
      </c>
      <c r="AF68" s="56">
        <f t="shared" si="22"/>
        <v>0</v>
      </c>
      <c r="AG68" s="56">
        <f t="shared" si="22"/>
        <v>0</v>
      </c>
      <c r="AH68" s="56">
        <f t="shared" si="22"/>
        <v>0</v>
      </c>
      <c r="AI68" s="56">
        <f t="shared" si="22"/>
        <v>0</v>
      </c>
    </row>
    <row r="69" spans="1:35" s="5" customFormat="1" ht="18" customHeight="1" x14ac:dyDescent="0.25">
      <c r="A69" s="58" t="s">
        <v>46</v>
      </c>
      <c r="B69" s="58"/>
      <c r="C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row>
    <row r="70" spans="1:35" s="5" customFormat="1" ht="18" customHeight="1" x14ac:dyDescent="0.2">
      <c r="A70" s="59" t="s">
        <v>127</v>
      </c>
      <c r="B70" s="59"/>
      <c r="C70" s="56"/>
      <c r="E70" s="56">
        <f>-(SysCost)</f>
        <v>-2100000</v>
      </c>
      <c r="F70" s="56">
        <f t="shared" ref="F70:AI70" si="23">IF(F$44=$B$16,$B$15,0)</f>
        <v>0</v>
      </c>
      <c r="G70" s="56">
        <f t="shared" si="23"/>
        <v>0</v>
      </c>
      <c r="H70" s="56">
        <f t="shared" si="23"/>
        <v>0</v>
      </c>
      <c r="I70" s="56">
        <f t="shared" si="23"/>
        <v>0</v>
      </c>
      <c r="J70" s="56">
        <f t="shared" si="23"/>
        <v>0</v>
      </c>
      <c r="K70" s="56">
        <f t="shared" si="23"/>
        <v>0</v>
      </c>
      <c r="L70" s="56">
        <f t="shared" si="23"/>
        <v>0</v>
      </c>
      <c r="M70" s="56">
        <f t="shared" si="23"/>
        <v>0</v>
      </c>
      <c r="N70" s="56">
        <f t="shared" si="23"/>
        <v>0</v>
      </c>
      <c r="O70" s="56">
        <f t="shared" si="23"/>
        <v>0</v>
      </c>
      <c r="P70" s="56">
        <f t="shared" si="23"/>
        <v>0</v>
      </c>
      <c r="Q70" s="56">
        <f t="shared" si="23"/>
        <v>0</v>
      </c>
      <c r="R70" s="56">
        <f t="shared" si="23"/>
        <v>0</v>
      </c>
      <c r="S70" s="56">
        <f t="shared" si="23"/>
        <v>0</v>
      </c>
      <c r="T70" s="56">
        <f t="shared" si="23"/>
        <v>0</v>
      </c>
      <c r="U70" s="56">
        <f t="shared" si="23"/>
        <v>0</v>
      </c>
      <c r="V70" s="56">
        <f t="shared" si="23"/>
        <v>0</v>
      </c>
      <c r="W70" s="56">
        <f t="shared" si="23"/>
        <v>0</v>
      </c>
      <c r="X70" s="56">
        <f t="shared" si="23"/>
        <v>0</v>
      </c>
      <c r="Y70" s="56">
        <f t="shared" si="23"/>
        <v>0</v>
      </c>
      <c r="Z70" s="56">
        <f t="shared" si="23"/>
        <v>0</v>
      </c>
      <c r="AA70" s="56">
        <f t="shared" si="23"/>
        <v>0</v>
      </c>
      <c r="AB70" s="56">
        <f t="shared" si="23"/>
        <v>0</v>
      </c>
      <c r="AC70" s="56">
        <f t="shared" si="23"/>
        <v>0</v>
      </c>
      <c r="AD70" s="56">
        <f t="shared" si="23"/>
        <v>0</v>
      </c>
      <c r="AE70" s="56">
        <f t="shared" si="23"/>
        <v>0</v>
      </c>
      <c r="AF70" s="56">
        <f t="shared" si="23"/>
        <v>0</v>
      </c>
      <c r="AG70" s="56">
        <f t="shared" si="23"/>
        <v>0</v>
      </c>
      <c r="AH70" s="56">
        <f t="shared" si="23"/>
        <v>0</v>
      </c>
      <c r="AI70" s="56">
        <f t="shared" si="23"/>
        <v>0</v>
      </c>
    </row>
    <row r="71" spans="1:35" s="5" customFormat="1" ht="18" customHeight="1" x14ac:dyDescent="0.2">
      <c r="A71" s="59" t="s">
        <v>61</v>
      </c>
      <c r="B71" s="59"/>
      <c r="C71" s="56"/>
      <c r="E71" s="56">
        <f>IF(taxable="Non-Taxable",0,$H$14)</f>
        <v>546000</v>
      </c>
      <c r="F71" s="70"/>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row>
    <row r="72" spans="1:35" s="5" customFormat="1" ht="18" customHeight="1" x14ac:dyDescent="0.2">
      <c r="A72" s="59" t="s">
        <v>77</v>
      </c>
      <c r="B72" s="59"/>
      <c r="C72" s="56"/>
      <c r="E72" s="56">
        <f>B19</f>
        <v>0</v>
      </c>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row>
    <row r="73" spans="1:35" s="5" customFormat="1" ht="18" customHeight="1" x14ac:dyDescent="0.2">
      <c r="A73" s="55" t="s">
        <v>47</v>
      </c>
      <c r="B73" s="55"/>
      <c r="C73" s="56"/>
      <c r="E73" s="56">
        <f t="shared" ref="E73:AI73" si="24">SUM(E70:E72)</f>
        <v>-1554000</v>
      </c>
      <c r="F73" s="56">
        <f t="shared" si="24"/>
        <v>0</v>
      </c>
      <c r="G73" s="56">
        <f t="shared" si="24"/>
        <v>0</v>
      </c>
      <c r="H73" s="56">
        <f t="shared" si="24"/>
        <v>0</v>
      </c>
      <c r="I73" s="56">
        <f t="shared" si="24"/>
        <v>0</v>
      </c>
      <c r="J73" s="56">
        <f t="shared" si="24"/>
        <v>0</v>
      </c>
      <c r="K73" s="56">
        <f t="shared" si="24"/>
        <v>0</v>
      </c>
      <c r="L73" s="56">
        <f t="shared" si="24"/>
        <v>0</v>
      </c>
      <c r="M73" s="56">
        <f t="shared" si="24"/>
        <v>0</v>
      </c>
      <c r="N73" s="56">
        <f t="shared" si="24"/>
        <v>0</v>
      </c>
      <c r="O73" s="56">
        <f t="shared" si="24"/>
        <v>0</v>
      </c>
      <c r="P73" s="56">
        <f t="shared" si="24"/>
        <v>0</v>
      </c>
      <c r="Q73" s="56">
        <f t="shared" si="24"/>
        <v>0</v>
      </c>
      <c r="R73" s="56">
        <f t="shared" si="24"/>
        <v>0</v>
      </c>
      <c r="S73" s="56">
        <f t="shared" si="24"/>
        <v>0</v>
      </c>
      <c r="T73" s="56">
        <f t="shared" si="24"/>
        <v>0</v>
      </c>
      <c r="U73" s="56">
        <f t="shared" si="24"/>
        <v>0</v>
      </c>
      <c r="V73" s="56">
        <f t="shared" si="24"/>
        <v>0</v>
      </c>
      <c r="W73" s="56">
        <f t="shared" si="24"/>
        <v>0</v>
      </c>
      <c r="X73" s="56">
        <f t="shared" si="24"/>
        <v>0</v>
      </c>
      <c r="Y73" s="56">
        <f t="shared" si="24"/>
        <v>0</v>
      </c>
      <c r="Z73" s="56">
        <f t="shared" si="24"/>
        <v>0</v>
      </c>
      <c r="AA73" s="56">
        <f t="shared" si="24"/>
        <v>0</v>
      </c>
      <c r="AB73" s="56">
        <f t="shared" si="24"/>
        <v>0</v>
      </c>
      <c r="AC73" s="56">
        <f t="shared" si="24"/>
        <v>0</v>
      </c>
      <c r="AD73" s="56">
        <f t="shared" si="24"/>
        <v>0</v>
      </c>
      <c r="AE73" s="56">
        <f t="shared" si="24"/>
        <v>0</v>
      </c>
      <c r="AF73" s="56">
        <f t="shared" si="24"/>
        <v>0</v>
      </c>
      <c r="AG73" s="56">
        <f t="shared" si="24"/>
        <v>0</v>
      </c>
      <c r="AH73" s="56">
        <f t="shared" si="24"/>
        <v>0</v>
      </c>
      <c r="AI73" s="56">
        <f t="shared" si="24"/>
        <v>0</v>
      </c>
    </row>
    <row r="74" spans="1:35" s="5" customFormat="1" ht="18" customHeight="1" x14ac:dyDescent="0.25">
      <c r="A74" s="58" t="s">
        <v>130</v>
      </c>
      <c r="B74" s="58"/>
      <c r="C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row>
    <row r="75" spans="1:35" ht="18" customHeight="1" x14ac:dyDescent="0.2">
      <c r="A75" s="52" t="s">
        <v>49</v>
      </c>
      <c r="B75" s="52"/>
      <c r="C75" s="10"/>
      <c r="E75" s="10">
        <f>$G$30</f>
        <v>932400</v>
      </c>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row>
    <row r="76" spans="1:35" ht="18" customHeight="1" x14ac:dyDescent="0.2">
      <c r="A76" s="91" t="s">
        <v>50</v>
      </c>
      <c r="B76" s="91"/>
      <c r="C76" s="10"/>
      <c r="E76" s="10"/>
      <c r="F76" s="10">
        <f>Principle</f>
        <v>-40058.481111933565</v>
      </c>
      <c r="G76" s="10">
        <f>Principle</f>
        <v>-42461.989978649581</v>
      </c>
      <c r="H76" s="10">
        <f t="shared" ref="H76:AI76" si="25">Principle</f>
        <v>-45009.709377368556</v>
      </c>
      <c r="I76" s="10">
        <f t="shared" si="25"/>
        <v>-47710.291940010669</v>
      </c>
      <c r="J76" s="10">
        <f t="shared" si="25"/>
        <v>-50572.909456411304</v>
      </c>
      <c r="K76" s="10">
        <f t="shared" si="25"/>
        <v>-53607.284023795983</v>
      </c>
      <c r="L76" s="10">
        <f t="shared" si="25"/>
        <v>-56823.721065223741</v>
      </c>
      <c r="M76" s="10">
        <f t="shared" si="25"/>
        <v>-60233.144329137162</v>
      </c>
      <c r="N76" s="10">
        <f t="shared" si="25"/>
        <v>-63847.132988885394</v>
      </c>
      <c r="O76" s="10">
        <f t="shared" si="25"/>
        <v>-67677.960968218511</v>
      </c>
      <c r="P76" s="10">
        <f t="shared" si="25"/>
        <v>-71738.638626311615</v>
      </c>
      <c r="Q76" s="10">
        <f t="shared" si="25"/>
        <v>-76042.956943890313</v>
      </c>
      <c r="R76" s="10">
        <f t="shared" si="25"/>
        <v>-80605.534360523743</v>
      </c>
      <c r="S76" s="10">
        <f t="shared" si="25"/>
        <v>-85441.866422155159</v>
      </c>
      <c r="T76" s="10">
        <f t="shared" si="25"/>
        <v>-90568.378407484473</v>
      </c>
      <c r="U76" s="10">
        <f t="shared" si="25"/>
        <v>0</v>
      </c>
      <c r="V76" s="10">
        <f t="shared" si="25"/>
        <v>0</v>
      </c>
      <c r="W76" s="10">
        <f t="shared" si="25"/>
        <v>0</v>
      </c>
      <c r="X76" s="10">
        <f t="shared" si="25"/>
        <v>0</v>
      </c>
      <c r="Y76" s="10">
        <f t="shared" si="25"/>
        <v>0</v>
      </c>
      <c r="Z76" s="10">
        <f t="shared" si="25"/>
        <v>0</v>
      </c>
      <c r="AA76" s="10">
        <f t="shared" si="25"/>
        <v>0</v>
      </c>
      <c r="AB76" s="10">
        <f t="shared" si="25"/>
        <v>0</v>
      </c>
      <c r="AC76" s="10">
        <f t="shared" si="25"/>
        <v>0</v>
      </c>
      <c r="AD76" s="10">
        <f t="shared" si="25"/>
        <v>0</v>
      </c>
      <c r="AE76" s="10">
        <f t="shared" si="25"/>
        <v>0</v>
      </c>
      <c r="AF76" s="10">
        <f t="shared" si="25"/>
        <v>0</v>
      </c>
      <c r="AG76" s="10">
        <f t="shared" si="25"/>
        <v>0</v>
      </c>
      <c r="AH76" s="10">
        <f t="shared" si="25"/>
        <v>0</v>
      </c>
      <c r="AI76" s="10">
        <f t="shared" si="25"/>
        <v>0</v>
      </c>
    </row>
    <row r="77" spans="1:35" ht="18" customHeight="1" x14ac:dyDescent="0.2">
      <c r="A77" s="37" t="s">
        <v>51</v>
      </c>
      <c r="B77" s="37"/>
      <c r="C77" s="10"/>
      <c r="E77" s="10">
        <f>E75+E76</f>
        <v>932400</v>
      </c>
      <c r="F77" s="10">
        <f>F75+F76</f>
        <v>-40058.481111933565</v>
      </c>
      <c r="G77" s="10">
        <f t="shared" ref="G77:AI77" si="26">G75+G76</f>
        <v>-42461.989978649581</v>
      </c>
      <c r="H77" s="10">
        <f t="shared" si="26"/>
        <v>-45009.709377368556</v>
      </c>
      <c r="I77" s="10">
        <f t="shared" si="26"/>
        <v>-47710.291940010669</v>
      </c>
      <c r="J77" s="10">
        <f t="shared" si="26"/>
        <v>-50572.909456411304</v>
      </c>
      <c r="K77" s="10">
        <f t="shared" si="26"/>
        <v>-53607.284023795983</v>
      </c>
      <c r="L77" s="10">
        <f t="shared" si="26"/>
        <v>-56823.721065223741</v>
      </c>
      <c r="M77" s="10">
        <f t="shared" si="26"/>
        <v>-60233.144329137162</v>
      </c>
      <c r="N77" s="10">
        <f t="shared" si="26"/>
        <v>-63847.132988885394</v>
      </c>
      <c r="O77" s="10">
        <f t="shared" si="26"/>
        <v>-67677.960968218511</v>
      </c>
      <c r="P77" s="10">
        <f t="shared" si="26"/>
        <v>-71738.638626311615</v>
      </c>
      <c r="Q77" s="10">
        <f t="shared" si="26"/>
        <v>-76042.956943890313</v>
      </c>
      <c r="R77" s="10">
        <f t="shared" si="26"/>
        <v>-80605.534360523743</v>
      </c>
      <c r="S77" s="10">
        <f t="shared" si="26"/>
        <v>-85441.866422155159</v>
      </c>
      <c r="T77" s="10">
        <f t="shared" si="26"/>
        <v>-90568.378407484473</v>
      </c>
      <c r="U77" s="10">
        <f t="shared" si="26"/>
        <v>0</v>
      </c>
      <c r="V77" s="10">
        <f t="shared" si="26"/>
        <v>0</v>
      </c>
      <c r="W77" s="10">
        <f t="shared" si="26"/>
        <v>0</v>
      </c>
      <c r="X77" s="10">
        <f t="shared" si="26"/>
        <v>0</v>
      </c>
      <c r="Y77" s="10">
        <f t="shared" si="26"/>
        <v>0</v>
      </c>
      <c r="Z77" s="10">
        <f t="shared" si="26"/>
        <v>0</v>
      </c>
      <c r="AA77" s="10">
        <f t="shared" si="26"/>
        <v>0</v>
      </c>
      <c r="AB77" s="10">
        <f t="shared" si="26"/>
        <v>0</v>
      </c>
      <c r="AC77" s="10">
        <f t="shared" si="26"/>
        <v>0</v>
      </c>
      <c r="AD77" s="10">
        <f t="shared" si="26"/>
        <v>0</v>
      </c>
      <c r="AE77" s="10">
        <f t="shared" si="26"/>
        <v>0</v>
      </c>
      <c r="AF77" s="10">
        <f t="shared" si="26"/>
        <v>0</v>
      </c>
      <c r="AG77" s="10">
        <f t="shared" si="26"/>
        <v>0</v>
      </c>
      <c r="AH77" s="10">
        <f t="shared" si="26"/>
        <v>0</v>
      </c>
      <c r="AI77" s="10">
        <f t="shared" si="26"/>
        <v>0</v>
      </c>
    </row>
    <row r="78" spans="1:35" ht="18" customHeight="1" x14ac:dyDescent="0.2">
      <c r="A78" s="39"/>
      <c r="B78" s="39"/>
      <c r="C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row>
    <row r="79" spans="1:35" s="21" customFormat="1" ht="18" customHeight="1" x14ac:dyDescent="0.25">
      <c r="A79" s="92" t="s">
        <v>60</v>
      </c>
      <c r="B79" s="93"/>
      <c r="C79" s="94"/>
      <c r="D79" s="94"/>
      <c r="E79" s="94">
        <f>E68+E73+E77</f>
        <v>-621600</v>
      </c>
      <c r="F79" s="94">
        <f>F68+F73+F77</f>
        <v>127231.74632806642</v>
      </c>
      <c r="G79" s="94">
        <f t="shared" ref="G79:AI79" si="27">G68+G73+G77</f>
        <v>171397.77219949564</v>
      </c>
      <c r="H79" s="94">
        <f t="shared" si="27"/>
        <v>120371.11124940508</v>
      </c>
      <c r="I79" s="94">
        <f t="shared" si="27"/>
        <v>88943.286830167606</v>
      </c>
      <c r="J79" s="94">
        <f t="shared" si="27"/>
        <v>86933.5651009516</v>
      </c>
      <c r="K79" s="94">
        <f t="shared" si="27"/>
        <v>62773.858436850416</v>
      </c>
      <c r="L79" s="94">
        <f t="shared" si="27"/>
        <v>38560.556325499128</v>
      </c>
      <c r="M79" s="94">
        <f t="shared" si="27"/>
        <v>36389.875720495482</v>
      </c>
      <c r="N79" s="94">
        <f t="shared" si="27"/>
        <v>34159.066819103668</v>
      </c>
      <c r="O79" s="94">
        <f t="shared" si="27"/>
        <v>-19011.421770231027</v>
      </c>
      <c r="P79" s="94">
        <f t="shared" si="27"/>
        <v>29502.653492905665</v>
      </c>
      <c r="Q79" s="94">
        <f t="shared" si="27"/>
        <v>27069.318916229066</v>
      </c>
      <c r="R79" s="94">
        <f t="shared" si="27"/>
        <v>24560.370683581612</v>
      </c>
      <c r="S79" s="94">
        <f t="shared" si="27"/>
        <v>21971.361193741468</v>
      </c>
      <c r="T79" s="94">
        <f t="shared" si="27"/>
        <v>19297.584583092539</v>
      </c>
      <c r="U79" s="94">
        <f t="shared" si="27"/>
        <v>112536.54249520443</v>
      </c>
      <c r="V79" s="94">
        <f t="shared" si="27"/>
        <v>111251.67604429054</v>
      </c>
      <c r="W79" s="94">
        <f t="shared" si="27"/>
        <v>109960.63760491302</v>
      </c>
      <c r="X79" s="94">
        <f t="shared" si="27"/>
        <v>108663.19061563519</v>
      </c>
      <c r="Y79" s="94">
        <f t="shared" si="27"/>
        <v>56483.09371984376</v>
      </c>
      <c r="Z79" s="94">
        <f t="shared" si="27"/>
        <v>142733.75303263211</v>
      </c>
      <c r="AA79" s="94">
        <f t="shared" si="27"/>
        <v>144629.84528261572</v>
      </c>
      <c r="AB79" s="94">
        <f t="shared" si="27"/>
        <v>146553.08760779581</v>
      </c>
      <c r="AC79" s="94">
        <f t="shared" si="27"/>
        <v>148503.79983859742</v>
      </c>
      <c r="AD79" s="94">
        <f t="shared" si="27"/>
        <v>150482.30473909265</v>
      </c>
      <c r="AE79" s="94">
        <f t="shared" si="27"/>
        <v>0</v>
      </c>
      <c r="AF79" s="94">
        <f t="shared" si="27"/>
        <v>0</v>
      </c>
      <c r="AG79" s="94">
        <f t="shared" si="27"/>
        <v>0</v>
      </c>
      <c r="AH79" s="94">
        <f t="shared" si="27"/>
        <v>0</v>
      </c>
      <c r="AI79" s="95">
        <f t="shared" si="27"/>
        <v>0</v>
      </c>
    </row>
    <row r="80" spans="1:35" s="1" customFormat="1" ht="18" customHeight="1" x14ac:dyDescent="0.25">
      <c r="A80" s="45" t="s">
        <v>59</v>
      </c>
      <c r="B80" s="45"/>
      <c r="C80" s="42"/>
      <c r="D80" s="42"/>
      <c r="E80" s="42">
        <f>E79</f>
        <v>-621600</v>
      </c>
      <c r="F80" s="42">
        <f>E80+F79</f>
        <v>-494368.25367193355</v>
      </c>
      <c r="G80" s="42">
        <f t="shared" ref="G80:AI80" si="28">F80+G79</f>
        <v>-322970.48147243791</v>
      </c>
      <c r="H80" s="42">
        <f t="shared" si="28"/>
        <v>-202599.37022303283</v>
      </c>
      <c r="I80" s="42">
        <f t="shared" si="28"/>
        <v>-113656.08339286523</v>
      </c>
      <c r="J80" s="42">
        <f t="shared" si="28"/>
        <v>-26722.518291913628</v>
      </c>
      <c r="K80" s="42">
        <f t="shared" si="28"/>
        <v>36051.340144936788</v>
      </c>
      <c r="L80" s="42">
        <f t="shared" si="28"/>
        <v>74611.896470435924</v>
      </c>
      <c r="M80" s="42">
        <f t="shared" si="28"/>
        <v>111001.7721909314</v>
      </c>
      <c r="N80" s="42">
        <f t="shared" si="28"/>
        <v>145160.83901003507</v>
      </c>
      <c r="O80" s="42">
        <f t="shared" si="28"/>
        <v>126149.41723980404</v>
      </c>
      <c r="P80" s="42">
        <f t="shared" si="28"/>
        <v>155652.07073270972</v>
      </c>
      <c r="Q80" s="42">
        <f t="shared" si="28"/>
        <v>182721.38964893878</v>
      </c>
      <c r="R80" s="42">
        <f t="shared" si="28"/>
        <v>207281.76033252041</v>
      </c>
      <c r="S80" s="42">
        <f t="shared" si="28"/>
        <v>229253.12152626188</v>
      </c>
      <c r="T80" s="42">
        <f t="shared" si="28"/>
        <v>248550.70610935442</v>
      </c>
      <c r="U80" s="42">
        <f t="shared" si="28"/>
        <v>361087.24860455887</v>
      </c>
      <c r="V80" s="42">
        <f t="shared" si="28"/>
        <v>472338.92464884941</v>
      </c>
      <c r="W80" s="42">
        <f t="shared" si="28"/>
        <v>582299.56225376239</v>
      </c>
      <c r="X80" s="42">
        <f t="shared" si="28"/>
        <v>690962.75286939763</v>
      </c>
      <c r="Y80" s="42">
        <f t="shared" si="28"/>
        <v>747445.84658924141</v>
      </c>
      <c r="Z80" s="42">
        <f t="shared" si="28"/>
        <v>890179.59962187358</v>
      </c>
      <c r="AA80" s="42">
        <f t="shared" si="28"/>
        <v>1034809.4449044893</v>
      </c>
      <c r="AB80" s="42">
        <f t="shared" si="28"/>
        <v>1181362.532512285</v>
      </c>
      <c r="AC80" s="42">
        <f t="shared" si="28"/>
        <v>1329866.3323508825</v>
      </c>
      <c r="AD80" s="42">
        <f t="shared" si="28"/>
        <v>1480348.6370899752</v>
      </c>
      <c r="AE80" s="42">
        <f>AD80+AE79</f>
        <v>1480348.6370899752</v>
      </c>
      <c r="AF80" s="42">
        <f t="shared" si="28"/>
        <v>1480348.6370899752</v>
      </c>
      <c r="AG80" s="42">
        <f t="shared" si="28"/>
        <v>1480348.6370899752</v>
      </c>
      <c r="AH80" s="42">
        <f t="shared" si="28"/>
        <v>1480348.6370899752</v>
      </c>
      <c r="AI80" s="42">
        <f t="shared" si="28"/>
        <v>1480348.6370899752</v>
      </c>
    </row>
    <row r="81" spans="1:35" ht="19.5" customHeight="1" x14ac:dyDescent="0.2">
      <c r="A81" s="39"/>
      <c r="B81" s="39"/>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row>
    <row r="82" spans="1:35" s="5" customFormat="1" ht="21" customHeight="1" x14ac:dyDescent="0.4">
      <c r="A82" s="108" t="s">
        <v>131</v>
      </c>
      <c r="B82" s="96"/>
      <c r="C82" s="96"/>
      <c r="D82" s="96"/>
      <c r="E82" s="96"/>
      <c r="F82" s="96"/>
      <c r="G82" s="96"/>
      <c r="H82" s="96"/>
      <c r="I82" s="96"/>
      <c r="J82" s="96"/>
      <c r="K82" s="96"/>
      <c r="L82" s="96"/>
      <c r="M82" s="96"/>
      <c r="N82" s="96"/>
      <c r="O82" s="96"/>
      <c r="P82" s="97"/>
      <c r="Q82" s="97"/>
      <c r="R82" s="97"/>
      <c r="S82" s="97"/>
      <c r="T82" s="97"/>
      <c r="U82" s="97"/>
      <c r="V82" s="97"/>
      <c r="W82" s="97"/>
      <c r="X82" s="97"/>
      <c r="Y82" s="97"/>
      <c r="Z82" s="98"/>
      <c r="AA82" s="98"/>
      <c r="AB82" s="98"/>
      <c r="AC82" s="98"/>
      <c r="AD82" s="98"/>
      <c r="AE82" s="98"/>
      <c r="AF82" s="98"/>
      <c r="AG82" s="98"/>
      <c r="AH82" s="98"/>
      <c r="AI82" s="98"/>
    </row>
    <row r="83" spans="1:35" ht="15.75" x14ac:dyDescent="0.25">
      <c r="E83" s="9"/>
      <c r="F83" s="31" t="s">
        <v>3</v>
      </c>
      <c r="G83" s="31" t="s">
        <v>3</v>
      </c>
      <c r="H83" s="31" t="s">
        <v>3</v>
      </c>
      <c r="I83" s="31" t="s">
        <v>3</v>
      </c>
      <c r="J83" s="31" t="s">
        <v>3</v>
      </c>
      <c r="K83" s="31" t="s">
        <v>3</v>
      </c>
      <c r="L83" s="31" t="s">
        <v>3</v>
      </c>
      <c r="M83" s="31" t="s">
        <v>3</v>
      </c>
      <c r="N83" s="31" t="s">
        <v>3</v>
      </c>
      <c r="O83" s="31" t="s">
        <v>3</v>
      </c>
      <c r="P83" s="31" t="s">
        <v>3</v>
      </c>
      <c r="Q83" s="31" t="s">
        <v>3</v>
      </c>
      <c r="R83" s="31" t="s">
        <v>3</v>
      </c>
      <c r="S83" s="31" t="s">
        <v>3</v>
      </c>
      <c r="T83" s="31" t="s">
        <v>3</v>
      </c>
      <c r="U83" s="31" t="s">
        <v>3</v>
      </c>
      <c r="V83" s="31" t="s">
        <v>3</v>
      </c>
      <c r="W83" s="31" t="s">
        <v>3</v>
      </c>
      <c r="X83" s="31" t="s">
        <v>3</v>
      </c>
      <c r="Y83" s="31" t="s">
        <v>3</v>
      </c>
      <c r="Z83" s="31" t="s">
        <v>3</v>
      </c>
      <c r="AA83" s="31" t="s">
        <v>3</v>
      </c>
      <c r="AB83" s="31" t="s">
        <v>3</v>
      </c>
      <c r="AC83" s="31" t="s">
        <v>3</v>
      </c>
      <c r="AD83" s="31" t="s">
        <v>3</v>
      </c>
      <c r="AE83" s="31" t="s">
        <v>3</v>
      </c>
      <c r="AF83" s="31" t="s">
        <v>3</v>
      </c>
      <c r="AG83" s="31" t="s">
        <v>3</v>
      </c>
      <c r="AH83" s="31" t="s">
        <v>3</v>
      </c>
      <c r="AI83" s="31" t="s">
        <v>3</v>
      </c>
    </row>
    <row r="84" spans="1:35" ht="15.75" x14ac:dyDescent="0.25">
      <c r="A84" s="1"/>
      <c r="B84" s="1"/>
      <c r="E84" s="9"/>
      <c r="F84" s="51">
        <v>1</v>
      </c>
      <c r="G84" s="51">
        <v>2</v>
      </c>
      <c r="H84" s="51">
        <v>3</v>
      </c>
      <c r="I84" s="51">
        <v>4</v>
      </c>
      <c r="J84" s="51">
        <v>5</v>
      </c>
      <c r="K84" s="51">
        <v>6</v>
      </c>
      <c r="L84" s="51">
        <v>7</v>
      </c>
      <c r="M84" s="51">
        <v>8</v>
      </c>
      <c r="N84" s="51">
        <v>9</v>
      </c>
      <c r="O84" s="51">
        <v>10</v>
      </c>
      <c r="P84" s="51">
        <v>11</v>
      </c>
      <c r="Q84" s="51">
        <v>12</v>
      </c>
      <c r="R84" s="51">
        <v>13</v>
      </c>
      <c r="S84" s="51">
        <v>14</v>
      </c>
      <c r="T84" s="51">
        <v>15</v>
      </c>
      <c r="U84" s="51">
        <v>16</v>
      </c>
      <c r="V84" s="51">
        <v>17</v>
      </c>
      <c r="W84" s="51">
        <v>18</v>
      </c>
      <c r="X84" s="51">
        <v>19</v>
      </c>
      <c r="Y84" s="51">
        <v>20</v>
      </c>
      <c r="Z84" s="51">
        <v>21</v>
      </c>
      <c r="AA84" s="51">
        <v>22</v>
      </c>
      <c r="AB84" s="51">
        <v>23</v>
      </c>
      <c r="AC84" s="51">
        <v>24</v>
      </c>
      <c r="AD84" s="51">
        <v>25</v>
      </c>
      <c r="AE84" s="51">
        <v>26</v>
      </c>
      <c r="AF84" s="51">
        <v>27</v>
      </c>
      <c r="AG84" s="51">
        <v>28</v>
      </c>
      <c r="AH84" s="51">
        <v>29</v>
      </c>
      <c r="AI84" s="51">
        <v>30</v>
      </c>
    </row>
    <row r="85" spans="1:35" x14ac:dyDescent="0.2">
      <c r="A85" s="2" t="s">
        <v>41</v>
      </c>
      <c r="E85" s="9"/>
      <c r="F85" s="9">
        <f>LoanAmount</f>
        <v>932400</v>
      </c>
      <c r="G85" s="9">
        <f>F89</f>
        <v>892341.51888806641</v>
      </c>
      <c r="H85" s="9">
        <f t="shared" ref="H85:AI85" si="29">G89</f>
        <v>849879.52890941687</v>
      </c>
      <c r="I85" s="9">
        <f t="shared" si="29"/>
        <v>804869.81953204831</v>
      </c>
      <c r="J85" s="9">
        <f t="shared" si="29"/>
        <v>757159.52759203769</v>
      </c>
      <c r="K85" s="9">
        <f t="shared" si="29"/>
        <v>706586.61813562643</v>
      </c>
      <c r="L85" s="9">
        <f t="shared" si="29"/>
        <v>652979.33411183045</v>
      </c>
      <c r="M85" s="9">
        <f t="shared" si="29"/>
        <v>596155.61304660677</v>
      </c>
      <c r="N85" s="9">
        <f t="shared" si="29"/>
        <v>535922.4687174696</v>
      </c>
      <c r="O85" s="9">
        <f t="shared" si="29"/>
        <v>472075.33572858421</v>
      </c>
      <c r="P85" s="9">
        <f t="shared" si="29"/>
        <v>404397.3747603657</v>
      </c>
      <c r="Q85" s="9">
        <f t="shared" si="29"/>
        <v>332658.73613405408</v>
      </c>
      <c r="R85" s="9">
        <f t="shared" si="29"/>
        <v>256615.77919016377</v>
      </c>
      <c r="S85" s="9">
        <f t="shared" si="29"/>
        <v>176010.24482964003</v>
      </c>
      <c r="T85" s="9">
        <f t="shared" si="29"/>
        <v>90568.378407484866</v>
      </c>
      <c r="U85" s="9">
        <f t="shared" si="29"/>
        <v>3.92901711165905E-10</v>
      </c>
      <c r="V85" s="9">
        <f t="shared" si="29"/>
        <v>3.92901711165905E-10</v>
      </c>
      <c r="W85" s="9">
        <f t="shared" si="29"/>
        <v>3.92901711165905E-10</v>
      </c>
      <c r="X85" s="9">
        <f t="shared" si="29"/>
        <v>3.92901711165905E-10</v>
      </c>
      <c r="Y85" s="9">
        <f t="shared" si="29"/>
        <v>3.92901711165905E-10</v>
      </c>
      <c r="Z85" s="9">
        <f t="shared" si="29"/>
        <v>3.92901711165905E-10</v>
      </c>
      <c r="AA85" s="9">
        <f t="shared" si="29"/>
        <v>3.92901711165905E-10</v>
      </c>
      <c r="AB85" s="9">
        <f t="shared" si="29"/>
        <v>3.92901711165905E-10</v>
      </c>
      <c r="AC85" s="9">
        <f t="shared" si="29"/>
        <v>3.92901711165905E-10</v>
      </c>
      <c r="AD85" s="9">
        <f t="shared" si="29"/>
        <v>3.92901711165905E-10</v>
      </c>
      <c r="AE85" s="9">
        <f t="shared" si="29"/>
        <v>3.92901711165905E-10</v>
      </c>
      <c r="AF85" s="9">
        <f t="shared" si="29"/>
        <v>3.92901711165905E-10</v>
      </c>
      <c r="AG85" s="9">
        <f t="shared" si="29"/>
        <v>3.92901711165905E-10</v>
      </c>
      <c r="AH85" s="9">
        <f t="shared" si="29"/>
        <v>3.92901711165905E-10</v>
      </c>
      <c r="AI85" s="9">
        <f t="shared" si="29"/>
        <v>3.92901711165905E-10</v>
      </c>
    </row>
    <row r="86" spans="1:35" x14ac:dyDescent="0.2">
      <c r="A86" s="2" t="s">
        <v>42</v>
      </c>
      <c r="E86" s="9"/>
      <c r="F86" s="9">
        <f t="shared" ref="F86:AI86" si="30">IF(ProjectYear&lt;=LoanTerm,PMT(LoanInterest,LoanTerm,LoanAmount),0)</f>
        <v>-96002.481111933565</v>
      </c>
      <c r="G86" s="9">
        <f t="shared" si="30"/>
        <v>-96002.481111933565</v>
      </c>
      <c r="H86" s="9">
        <f t="shared" si="30"/>
        <v>-96002.481111933565</v>
      </c>
      <c r="I86" s="9">
        <f t="shared" si="30"/>
        <v>-96002.481111933565</v>
      </c>
      <c r="J86" s="9">
        <f t="shared" si="30"/>
        <v>-96002.481111933565</v>
      </c>
      <c r="K86" s="9">
        <f t="shared" si="30"/>
        <v>-96002.481111933565</v>
      </c>
      <c r="L86" s="9">
        <f t="shared" si="30"/>
        <v>-96002.481111933565</v>
      </c>
      <c r="M86" s="9">
        <f t="shared" si="30"/>
        <v>-96002.481111933565</v>
      </c>
      <c r="N86" s="9">
        <f t="shared" si="30"/>
        <v>-96002.481111933565</v>
      </c>
      <c r="O86" s="9">
        <f t="shared" si="30"/>
        <v>-96002.481111933565</v>
      </c>
      <c r="P86" s="9">
        <f t="shared" si="30"/>
        <v>-96002.481111933565</v>
      </c>
      <c r="Q86" s="9">
        <f t="shared" si="30"/>
        <v>-96002.481111933565</v>
      </c>
      <c r="R86" s="9">
        <f t="shared" si="30"/>
        <v>-96002.481111933565</v>
      </c>
      <c r="S86" s="9">
        <f t="shared" si="30"/>
        <v>-96002.481111933565</v>
      </c>
      <c r="T86" s="9">
        <f t="shared" si="30"/>
        <v>-96002.481111933565</v>
      </c>
      <c r="U86" s="9">
        <f t="shared" si="30"/>
        <v>0</v>
      </c>
      <c r="V86" s="9">
        <f t="shared" si="30"/>
        <v>0</v>
      </c>
      <c r="W86" s="9">
        <f t="shared" si="30"/>
        <v>0</v>
      </c>
      <c r="X86" s="9">
        <f t="shared" si="30"/>
        <v>0</v>
      </c>
      <c r="Y86" s="9">
        <f t="shared" si="30"/>
        <v>0</v>
      </c>
      <c r="Z86" s="9">
        <f t="shared" si="30"/>
        <v>0</v>
      </c>
      <c r="AA86" s="9">
        <f t="shared" si="30"/>
        <v>0</v>
      </c>
      <c r="AB86" s="9">
        <f t="shared" si="30"/>
        <v>0</v>
      </c>
      <c r="AC86" s="9">
        <f t="shared" si="30"/>
        <v>0</v>
      </c>
      <c r="AD86" s="9">
        <f t="shared" si="30"/>
        <v>0</v>
      </c>
      <c r="AE86" s="9">
        <f t="shared" si="30"/>
        <v>0</v>
      </c>
      <c r="AF86" s="9">
        <f t="shared" si="30"/>
        <v>0</v>
      </c>
      <c r="AG86" s="9">
        <f t="shared" si="30"/>
        <v>0</v>
      </c>
      <c r="AH86" s="9">
        <f t="shared" si="30"/>
        <v>0</v>
      </c>
      <c r="AI86" s="9">
        <f t="shared" si="30"/>
        <v>0</v>
      </c>
    </row>
    <row r="87" spans="1:35" x14ac:dyDescent="0.2">
      <c r="A87" s="2" t="s">
        <v>43</v>
      </c>
      <c r="E87" s="9"/>
      <c r="F87" s="9">
        <f t="shared" ref="F87:AI87" si="31">DebtService-Interest</f>
        <v>-40058.481111933565</v>
      </c>
      <c r="G87" s="9">
        <f t="shared" si="31"/>
        <v>-42461.989978649581</v>
      </c>
      <c r="H87" s="9">
        <f t="shared" si="31"/>
        <v>-45009.709377368556</v>
      </c>
      <c r="I87" s="9">
        <f t="shared" si="31"/>
        <v>-47710.291940010669</v>
      </c>
      <c r="J87" s="9">
        <f t="shared" si="31"/>
        <v>-50572.909456411304</v>
      </c>
      <c r="K87" s="9">
        <f t="shared" si="31"/>
        <v>-53607.284023795983</v>
      </c>
      <c r="L87" s="9">
        <f t="shared" si="31"/>
        <v>-56823.721065223741</v>
      </c>
      <c r="M87" s="9">
        <f t="shared" si="31"/>
        <v>-60233.144329137162</v>
      </c>
      <c r="N87" s="9">
        <f t="shared" si="31"/>
        <v>-63847.132988885394</v>
      </c>
      <c r="O87" s="9">
        <f t="shared" si="31"/>
        <v>-67677.960968218511</v>
      </c>
      <c r="P87" s="9">
        <f t="shared" si="31"/>
        <v>-71738.638626311615</v>
      </c>
      <c r="Q87" s="9">
        <f t="shared" si="31"/>
        <v>-76042.956943890313</v>
      </c>
      <c r="R87" s="9">
        <f t="shared" si="31"/>
        <v>-80605.534360523743</v>
      </c>
      <c r="S87" s="9">
        <f t="shared" si="31"/>
        <v>-85441.866422155159</v>
      </c>
      <c r="T87" s="9">
        <f t="shared" si="31"/>
        <v>-90568.378407484473</v>
      </c>
      <c r="U87" s="9">
        <f t="shared" si="31"/>
        <v>0</v>
      </c>
      <c r="V87" s="9">
        <f t="shared" si="31"/>
        <v>0</v>
      </c>
      <c r="W87" s="9">
        <f t="shared" si="31"/>
        <v>0</v>
      </c>
      <c r="X87" s="9">
        <f t="shared" si="31"/>
        <v>0</v>
      </c>
      <c r="Y87" s="9">
        <f t="shared" si="31"/>
        <v>0</v>
      </c>
      <c r="Z87" s="9">
        <f t="shared" si="31"/>
        <v>0</v>
      </c>
      <c r="AA87" s="9">
        <f t="shared" si="31"/>
        <v>0</v>
      </c>
      <c r="AB87" s="9">
        <f t="shared" si="31"/>
        <v>0</v>
      </c>
      <c r="AC87" s="9">
        <f t="shared" si="31"/>
        <v>0</v>
      </c>
      <c r="AD87" s="9">
        <f t="shared" si="31"/>
        <v>0</v>
      </c>
      <c r="AE87" s="9">
        <f t="shared" si="31"/>
        <v>0</v>
      </c>
      <c r="AF87" s="9">
        <f t="shared" si="31"/>
        <v>0</v>
      </c>
      <c r="AG87" s="9">
        <f t="shared" si="31"/>
        <v>0</v>
      </c>
      <c r="AH87" s="9">
        <f t="shared" si="31"/>
        <v>0</v>
      </c>
      <c r="AI87" s="9">
        <f t="shared" si="31"/>
        <v>0</v>
      </c>
    </row>
    <row r="88" spans="1:35" x14ac:dyDescent="0.2">
      <c r="A88" s="2" t="s">
        <v>44</v>
      </c>
      <c r="E88" s="9"/>
      <c r="F88" s="9">
        <f t="shared" ref="F88:AI88" si="32">IF(ProjectYear&lt;=LoanTerm,-BegLoanBal*LoanInterest,0)</f>
        <v>-55944</v>
      </c>
      <c r="G88" s="9">
        <f t="shared" si="32"/>
        <v>-53540.491133283984</v>
      </c>
      <c r="H88" s="9">
        <f t="shared" si="32"/>
        <v>-50992.771734565009</v>
      </c>
      <c r="I88" s="9">
        <f t="shared" si="32"/>
        <v>-48292.189171922895</v>
      </c>
      <c r="J88" s="9">
        <f t="shared" si="32"/>
        <v>-45429.571655522261</v>
      </c>
      <c r="K88" s="9">
        <f t="shared" si="32"/>
        <v>-42395.197088137582</v>
      </c>
      <c r="L88" s="9">
        <f t="shared" si="32"/>
        <v>-39178.760046709824</v>
      </c>
      <c r="M88" s="9">
        <f t="shared" si="32"/>
        <v>-35769.336782796403</v>
      </c>
      <c r="N88" s="9">
        <f t="shared" si="32"/>
        <v>-32155.348123048174</v>
      </c>
      <c r="O88" s="9">
        <f t="shared" si="32"/>
        <v>-28324.52014371505</v>
      </c>
      <c r="P88" s="9">
        <f t="shared" si="32"/>
        <v>-24263.842485621943</v>
      </c>
      <c r="Q88" s="9">
        <f t="shared" si="32"/>
        <v>-19959.524168043245</v>
      </c>
      <c r="R88" s="9">
        <f t="shared" si="32"/>
        <v>-15396.946751409825</v>
      </c>
      <c r="S88" s="9">
        <f t="shared" si="32"/>
        <v>-10560.614689778402</v>
      </c>
      <c r="T88" s="9">
        <f t="shared" si="32"/>
        <v>-5434.102704449092</v>
      </c>
      <c r="U88" s="9">
        <f t="shared" si="32"/>
        <v>0</v>
      </c>
      <c r="V88" s="9">
        <f t="shared" si="32"/>
        <v>0</v>
      </c>
      <c r="W88" s="9">
        <f t="shared" si="32"/>
        <v>0</v>
      </c>
      <c r="X88" s="9">
        <f t="shared" si="32"/>
        <v>0</v>
      </c>
      <c r="Y88" s="9">
        <f t="shared" si="32"/>
        <v>0</v>
      </c>
      <c r="Z88" s="9">
        <f t="shared" si="32"/>
        <v>0</v>
      </c>
      <c r="AA88" s="9">
        <f t="shared" si="32"/>
        <v>0</v>
      </c>
      <c r="AB88" s="9">
        <f t="shared" si="32"/>
        <v>0</v>
      </c>
      <c r="AC88" s="9">
        <f t="shared" si="32"/>
        <v>0</v>
      </c>
      <c r="AD88" s="9">
        <f t="shared" si="32"/>
        <v>0</v>
      </c>
      <c r="AE88" s="9">
        <f t="shared" si="32"/>
        <v>0</v>
      </c>
      <c r="AF88" s="9">
        <f t="shared" si="32"/>
        <v>0</v>
      </c>
      <c r="AG88" s="9">
        <f t="shared" si="32"/>
        <v>0</v>
      </c>
      <c r="AH88" s="9">
        <f t="shared" si="32"/>
        <v>0</v>
      </c>
      <c r="AI88" s="9">
        <f t="shared" si="32"/>
        <v>0</v>
      </c>
    </row>
    <row r="89" spans="1:35" s="1" customFormat="1" ht="15.75" x14ac:dyDescent="0.25">
      <c r="A89" s="1" t="s">
        <v>45</v>
      </c>
      <c r="C89" s="60"/>
      <c r="E89" s="60"/>
      <c r="F89" s="60">
        <f t="shared" ref="F89:AI89" si="33">BegLoanBal+Principle</f>
        <v>892341.51888806641</v>
      </c>
      <c r="G89" s="60">
        <f t="shared" si="33"/>
        <v>849879.52890941687</v>
      </c>
      <c r="H89" s="60">
        <f t="shared" si="33"/>
        <v>804869.81953204831</v>
      </c>
      <c r="I89" s="60">
        <f t="shared" si="33"/>
        <v>757159.52759203769</v>
      </c>
      <c r="J89" s="60">
        <f t="shared" si="33"/>
        <v>706586.61813562643</v>
      </c>
      <c r="K89" s="60">
        <f t="shared" si="33"/>
        <v>652979.33411183045</v>
      </c>
      <c r="L89" s="60">
        <f t="shared" si="33"/>
        <v>596155.61304660677</v>
      </c>
      <c r="M89" s="60">
        <f t="shared" si="33"/>
        <v>535922.4687174696</v>
      </c>
      <c r="N89" s="60">
        <f t="shared" si="33"/>
        <v>472075.33572858421</v>
      </c>
      <c r="O89" s="60">
        <f t="shared" si="33"/>
        <v>404397.3747603657</v>
      </c>
      <c r="P89" s="60">
        <f t="shared" si="33"/>
        <v>332658.73613405408</v>
      </c>
      <c r="Q89" s="60">
        <f t="shared" si="33"/>
        <v>256615.77919016377</v>
      </c>
      <c r="R89" s="60">
        <f t="shared" si="33"/>
        <v>176010.24482964003</v>
      </c>
      <c r="S89" s="60">
        <f t="shared" si="33"/>
        <v>90568.378407484866</v>
      </c>
      <c r="T89" s="60">
        <f t="shared" si="33"/>
        <v>3.92901711165905E-10</v>
      </c>
      <c r="U89" s="60">
        <f t="shared" si="33"/>
        <v>3.92901711165905E-10</v>
      </c>
      <c r="V89" s="60">
        <f t="shared" si="33"/>
        <v>3.92901711165905E-10</v>
      </c>
      <c r="W89" s="60">
        <f t="shared" si="33"/>
        <v>3.92901711165905E-10</v>
      </c>
      <c r="X89" s="60">
        <f t="shared" si="33"/>
        <v>3.92901711165905E-10</v>
      </c>
      <c r="Y89" s="60">
        <f t="shared" si="33"/>
        <v>3.92901711165905E-10</v>
      </c>
      <c r="Z89" s="60">
        <f t="shared" si="33"/>
        <v>3.92901711165905E-10</v>
      </c>
      <c r="AA89" s="60">
        <f t="shared" si="33"/>
        <v>3.92901711165905E-10</v>
      </c>
      <c r="AB89" s="60">
        <f t="shared" si="33"/>
        <v>3.92901711165905E-10</v>
      </c>
      <c r="AC89" s="60">
        <f t="shared" si="33"/>
        <v>3.92901711165905E-10</v>
      </c>
      <c r="AD89" s="60">
        <f t="shared" si="33"/>
        <v>3.92901711165905E-10</v>
      </c>
      <c r="AE89" s="60">
        <f t="shared" si="33"/>
        <v>3.92901711165905E-10</v>
      </c>
      <c r="AF89" s="60">
        <f t="shared" si="33"/>
        <v>3.92901711165905E-10</v>
      </c>
      <c r="AG89" s="60">
        <f t="shared" si="33"/>
        <v>3.92901711165905E-10</v>
      </c>
      <c r="AH89" s="60">
        <f t="shared" si="33"/>
        <v>3.92901711165905E-10</v>
      </c>
      <c r="AI89" s="60">
        <f t="shared" si="33"/>
        <v>3.92901711165905E-10</v>
      </c>
    </row>
    <row r="90" spans="1:35" s="1" customFormat="1" ht="15.75" x14ac:dyDescent="0.25">
      <c r="C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row>
    <row r="91" spans="1:35" s="21" customFormat="1" ht="23.25" x14ac:dyDescent="0.35">
      <c r="A91" s="156" t="s">
        <v>136</v>
      </c>
      <c r="B91" s="135"/>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row>
    <row r="92" spans="1:35" s="5" customFormat="1" ht="17.25" customHeight="1" x14ac:dyDescent="0.3">
      <c r="A92" s="157" t="s">
        <v>68</v>
      </c>
      <c r="B92" s="141"/>
      <c r="C92" s="122"/>
      <c r="D92" s="137"/>
      <c r="E92" s="122"/>
      <c r="F92" s="142"/>
      <c r="G92" s="143"/>
      <c r="H92" s="143"/>
      <c r="I92" s="143"/>
      <c r="J92" s="143"/>
      <c r="K92" s="143"/>
      <c r="L92" s="143"/>
      <c r="M92" s="143"/>
      <c r="N92" s="143"/>
      <c r="O92" s="143"/>
      <c r="P92" s="143"/>
      <c r="Q92" s="143"/>
      <c r="R92" s="143"/>
      <c r="S92" s="143"/>
      <c r="T92" s="143"/>
      <c r="U92" s="143"/>
      <c r="V92" s="133"/>
      <c r="W92" s="143"/>
      <c r="X92" s="143"/>
      <c r="Y92" s="143"/>
      <c r="Z92" s="143"/>
      <c r="AA92" s="143"/>
      <c r="AB92" s="143"/>
      <c r="AC92" s="143"/>
      <c r="AD92" s="143"/>
      <c r="AE92" s="143"/>
      <c r="AF92" s="143"/>
      <c r="AG92" s="143"/>
      <c r="AH92" s="143"/>
      <c r="AI92" s="143"/>
    </row>
    <row r="93" spans="1:35" s="5" customFormat="1" ht="18" customHeight="1" x14ac:dyDescent="0.25">
      <c r="A93" s="144" t="s">
        <v>52</v>
      </c>
      <c r="B93" s="144"/>
      <c r="C93" s="122"/>
      <c r="D93" s="137"/>
      <c r="E93" s="122"/>
      <c r="F93" s="145"/>
      <c r="G93" s="143"/>
      <c r="H93" s="143"/>
      <c r="I93" s="143"/>
      <c r="J93" s="143"/>
      <c r="K93" s="143"/>
      <c r="L93" s="143"/>
      <c r="M93" s="143"/>
      <c r="N93" s="143"/>
      <c r="O93" s="143"/>
      <c r="P93" s="143"/>
      <c r="Q93" s="143"/>
      <c r="R93" s="143"/>
      <c r="S93" s="143"/>
      <c r="T93" s="143"/>
      <c r="U93" s="143"/>
      <c r="V93" s="133"/>
      <c r="W93" s="143"/>
      <c r="X93" s="143"/>
      <c r="Y93" s="143"/>
      <c r="Z93" s="143"/>
      <c r="AA93" s="143"/>
      <c r="AB93" s="143"/>
      <c r="AC93" s="143"/>
      <c r="AD93" s="143"/>
      <c r="AE93" s="143"/>
      <c r="AF93" s="143"/>
      <c r="AG93" s="143"/>
      <c r="AH93" s="143"/>
      <c r="AI93" s="143"/>
    </row>
    <row r="94" spans="1:35" s="5" customFormat="1" ht="18" customHeight="1" x14ac:dyDescent="0.25">
      <c r="A94" s="146" t="s">
        <v>111</v>
      </c>
      <c r="B94" s="146"/>
      <c r="C94" s="122"/>
      <c r="D94" s="137"/>
      <c r="E94" s="122"/>
      <c r="F94" s="133">
        <f t="shared" ref="F94:AI94" si="34">Generation*F$47*elecRev*(1+ElecRevAdj)^E$44</f>
        <v>0</v>
      </c>
      <c r="G94" s="133">
        <f t="shared" si="34"/>
        <v>0</v>
      </c>
      <c r="H94" s="133">
        <f t="shared" si="34"/>
        <v>0</v>
      </c>
      <c r="I94" s="133">
        <f t="shared" si="34"/>
        <v>0</v>
      </c>
      <c r="J94" s="133">
        <f t="shared" si="34"/>
        <v>0</v>
      </c>
      <c r="K94" s="133">
        <f t="shared" si="34"/>
        <v>0</v>
      </c>
      <c r="L94" s="133">
        <f t="shared" si="34"/>
        <v>0</v>
      </c>
      <c r="M94" s="133">
        <f t="shared" si="34"/>
        <v>0</v>
      </c>
      <c r="N94" s="133">
        <f t="shared" si="34"/>
        <v>0</v>
      </c>
      <c r="O94" s="133">
        <f t="shared" si="34"/>
        <v>0</v>
      </c>
      <c r="P94" s="133">
        <f t="shared" si="34"/>
        <v>0</v>
      </c>
      <c r="Q94" s="133">
        <f t="shared" si="34"/>
        <v>0</v>
      </c>
      <c r="R94" s="133">
        <f t="shared" si="34"/>
        <v>0</v>
      </c>
      <c r="S94" s="133">
        <f t="shared" si="34"/>
        <v>0</v>
      </c>
      <c r="T94" s="133">
        <f t="shared" si="34"/>
        <v>0</v>
      </c>
      <c r="U94" s="133">
        <f t="shared" si="34"/>
        <v>0</v>
      </c>
      <c r="V94" s="133">
        <f t="shared" si="34"/>
        <v>0</v>
      </c>
      <c r="W94" s="133">
        <f t="shared" si="34"/>
        <v>0</v>
      </c>
      <c r="X94" s="133">
        <f t="shared" si="34"/>
        <v>0</v>
      </c>
      <c r="Y94" s="133">
        <f t="shared" si="34"/>
        <v>0</v>
      </c>
      <c r="Z94" s="133">
        <f t="shared" si="34"/>
        <v>0</v>
      </c>
      <c r="AA94" s="133">
        <f t="shared" si="34"/>
        <v>0</v>
      </c>
      <c r="AB94" s="133">
        <f t="shared" si="34"/>
        <v>0</v>
      </c>
      <c r="AC94" s="133">
        <f t="shared" si="34"/>
        <v>0</v>
      </c>
      <c r="AD94" s="133">
        <f t="shared" si="34"/>
        <v>0</v>
      </c>
      <c r="AE94" s="133">
        <f t="shared" si="34"/>
        <v>0</v>
      </c>
      <c r="AF94" s="133">
        <f t="shared" si="34"/>
        <v>0</v>
      </c>
      <c r="AG94" s="133">
        <f t="shared" si="34"/>
        <v>0</v>
      </c>
      <c r="AH94" s="133">
        <f t="shared" si="34"/>
        <v>0</v>
      </c>
      <c r="AI94" s="133">
        <f t="shared" si="34"/>
        <v>0</v>
      </c>
    </row>
    <row r="95" spans="1:35" s="5" customFormat="1" ht="18" customHeight="1" x14ac:dyDescent="0.25">
      <c r="A95" s="146" t="s">
        <v>124</v>
      </c>
      <c r="B95" s="146"/>
      <c r="C95" s="122"/>
      <c r="D95" s="137"/>
      <c r="E95" s="122"/>
      <c r="F95" s="133">
        <f t="shared" ref="F95:AI95" si="35">IF($B$27&gt;=F$44,Generation*F$47*$B$26,F$94)</f>
        <v>0</v>
      </c>
      <c r="G95" s="133">
        <f t="shared" si="35"/>
        <v>0</v>
      </c>
      <c r="H95" s="133">
        <f t="shared" si="35"/>
        <v>0</v>
      </c>
      <c r="I95" s="133">
        <f t="shared" si="35"/>
        <v>0</v>
      </c>
      <c r="J95" s="133">
        <f t="shared" si="35"/>
        <v>0</v>
      </c>
      <c r="K95" s="133">
        <f t="shared" si="35"/>
        <v>0</v>
      </c>
      <c r="L95" s="133">
        <f t="shared" si="35"/>
        <v>0</v>
      </c>
      <c r="M95" s="133">
        <f t="shared" si="35"/>
        <v>0</v>
      </c>
      <c r="N95" s="133">
        <f t="shared" si="35"/>
        <v>0</v>
      </c>
      <c r="O95" s="133">
        <f t="shared" si="35"/>
        <v>0</v>
      </c>
      <c r="P95" s="133">
        <f t="shared" si="35"/>
        <v>0</v>
      </c>
      <c r="Q95" s="133">
        <f t="shared" si="35"/>
        <v>0</v>
      </c>
      <c r="R95" s="133">
        <f t="shared" si="35"/>
        <v>0</v>
      </c>
      <c r="S95" s="133">
        <f t="shared" si="35"/>
        <v>0</v>
      </c>
      <c r="T95" s="133">
        <f t="shared" si="35"/>
        <v>0</v>
      </c>
      <c r="U95" s="133">
        <f t="shared" si="35"/>
        <v>0</v>
      </c>
      <c r="V95" s="133">
        <f t="shared" si="35"/>
        <v>0</v>
      </c>
      <c r="W95" s="133">
        <f t="shared" si="35"/>
        <v>0</v>
      </c>
      <c r="X95" s="133">
        <f t="shared" si="35"/>
        <v>0</v>
      </c>
      <c r="Y95" s="133">
        <f t="shared" si="35"/>
        <v>0</v>
      </c>
      <c r="Z95" s="133">
        <f t="shared" si="35"/>
        <v>0</v>
      </c>
      <c r="AA95" s="133">
        <f t="shared" si="35"/>
        <v>0</v>
      </c>
      <c r="AB95" s="133">
        <f t="shared" si="35"/>
        <v>0</v>
      </c>
      <c r="AC95" s="133">
        <f t="shared" si="35"/>
        <v>0</v>
      </c>
      <c r="AD95" s="133">
        <f t="shared" si="35"/>
        <v>0</v>
      </c>
      <c r="AE95" s="133">
        <f t="shared" si="35"/>
        <v>0</v>
      </c>
      <c r="AF95" s="133">
        <f t="shared" si="35"/>
        <v>0</v>
      </c>
      <c r="AG95" s="133">
        <f t="shared" si="35"/>
        <v>0</v>
      </c>
      <c r="AH95" s="133">
        <f t="shared" si="35"/>
        <v>0</v>
      </c>
      <c r="AI95" s="133">
        <f t="shared" si="35"/>
        <v>0</v>
      </c>
    </row>
    <row r="96" spans="1:35" s="5" customFormat="1" ht="18" customHeight="1" x14ac:dyDescent="0.25">
      <c r="A96" s="147" t="s">
        <v>15</v>
      </c>
      <c r="B96" s="147"/>
      <c r="C96" s="148"/>
      <c r="D96" s="137"/>
      <c r="E96" s="122"/>
      <c r="F96" s="122">
        <f t="shared" ref="F96:AI96" si="36">IF(F$44&gt;$B$27,$B$28*F$47*F$45/1000,0)</f>
        <v>0</v>
      </c>
      <c r="G96" s="122">
        <f t="shared" si="36"/>
        <v>0</v>
      </c>
      <c r="H96" s="122">
        <f t="shared" si="36"/>
        <v>0</v>
      </c>
      <c r="I96" s="122">
        <f t="shared" si="36"/>
        <v>0</v>
      </c>
      <c r="J96" s="122">
        <f t="shared" si="36"/>
        <v>0</v>
      </c>
      <c r="K96" s="122">
        <f t="shared" si="36"/>
        <v>0</v>
      </c>
      <c r="L96" s="122">
        <f t="shared" si="36"/>
        <v>0</v>
      </c>
      <c r="M96" s="122">
        <f t="shared" si="36"/>
        <v>0</v>
      </c>
      <c r="N96" s="122">
        <f t="shared" si="36"/>
        <v>0</v>
      </c>
      <c r="O96" s="122">
        <f t="shared" si="36"/>
        <v>0</v>
      </c>
      <c r="P96" s="122">
        <f t="shared" si="36"/>
        <v>0</v>
      </c>
      <c r="Q96" s="122">
        <f t="shared" si="36"/>
        <v>0</v>
      </c>
      <c r="R96" s="122">
        <f t="shared" si="36"/>
        <v>0</v>
      </c>
      <c r="S96" s="122">
        <f t="shared" si="36"/>
        <v>0</v>
      </c>
      <c r="T96" s="122">
        <f t="shared" si="36"/>
        <v>0</v>
      </c>
      <c r="U96" s="122">
        <f t="shared" si="36"/>
        <v>0</v>
      </c>
      <c r="V96" s="122">
        <f t="shared" si="36"/>
        <v>0</v>
      </c>
      <c r="W96" s="122">
        <f t="shared" si="36"/>
        <v>0</v>
      </c>
      <c r="X96" s="122">
        <f t="shared" si="36"/>
        <v>0</v>
      </c>
      <c r="Y96" s="122">
        <f t="shared" si="36"/>
        <v>0</v>
      </c>
      <c r="Z96" s="122">
        <f t="shared" si="36"/>
        <v>0</v>
      </c>
      <c r="AA96" s="122">
        <f t="shared" si="36"/>
        <v>0</v>
      </c>
      <c r="AB96" s="122">
        <f t="shared" si="36"/>
        <v>0</v>
      </c>
      <c r="AC96" s="122">
        <f t="shared" si="36"/>
        <v>0</v>
      </c>
      <c r="AD96" s="122">
        <f t="shared" si="36"/>
        <v>0</v>
      </c>
      <c r="AE96" s="122">
        <f t="shared" si="36"/>
        <v>0</v>
      </c>
      <c r="AF96" s="122">
        <f t="shared" si="36"/>
        <v>0</v>
      </c>
      <c r="AG96" s="122">
        <f t="shared" si="36"/>
        <v>0</v>
      </c>
      <c r="AH96" s="122">
        <f t="shared" si="36"/>
        <v>0</v>
      </c>
      <c r="AI96" s="122">
        <f t="shared" si="36"/>
        <v>0</v>
      </c>
    </row>
    <row r="97" spans="1:35" s="5" customFormat="1" ht="18" customHeight="1" x14ac:dyDescent="0.25">
      <c r="A97" s="146" t="s">
        <v>97</v>
      </c>
      <c r="B97" s="146"/>
      <c r="C97" s="122"/>
      <c r="D97" s="137"/>
      <c r="E97" s="122"/>
      <c r="F97" s="133">
        <f t="shared" ref="F97:AI97" si="37">-($B$36*F94)*F$47</f>
        <v>0</v>
      </c>
      <c r="G97" s="133">
        <f t="shared" si="37"/>
        <v>0</v>
      </c>
      <c r="H97" s="133">
        <f t="shared" si="37"/>
        <v>0</v>
      </c>
      <c r="I97" s="133">
        <f t="shared" si="37"/>
        <v>0</v>
      </c>
      <c r="J97" s="133">
        <f t="shared" si="37"/>
        <v>0</v>
      </c>
      <c r="K97" s="133">
        <f t="shared" si="37"/>
        <v>0</v>
      </c>
      <c r="L97" s="133">
        <f t="shared" si="37"/>
        <v>0</v>
      </c>
      <c r="M97" s="133">
        <f t="shared" si="37"/>
        <v>0</v>
      </c>
      <c r="N97" s="133">
        <f t="shared" si="37"/>
        <v>0</v>
      </c>
      <c r="O97" s="133">
        <f t="shared" si="37"/>
        <v>0</v>
      </c>
      <c r="P97" s="133">
        <f t="shared" si="37"/>
        <v>0</v>
      </c>
      <c r="Q97" s="133">
        <f t="shared" si="37"/>
        <v>0</v>
      </c>
      <c r="R97" s="133">
        <f t="shared" si="37"/>
        <v>0</v>
      </c>
      <c r="S97" s="133">
        <f t="shared" si="37"/>
        <v>0</v>
      </c>
      <c r="T97" s="133">
        <f t="shared" si="37"/>
        <v>0</v>
      </c>
      <c r="U97" s="133">
        <f t="shared" si="37"/>
        <v>0</v>
      </c>
      <c r="V97" s="133">
        <f t="shared" si="37"/>
        <v>0</v>
      </c>
      <c r="W97" s="133">
        <f t="shared" si="37"/>
        <v>0</v>
      </c>
      <c r="X97" s="133">
        <f t="shared" si="37"/>
        <v>0</v>
      </c>
      <c r="Y97" s="133">
        <f t="shared" si="37"/>
        <v>0</v>
      </c>
      <c r="Z97" s="133">
        <f t="shared" si="37"/>
        <v>0</v>
      </c>
      <c r="AA97" s="133">
        <f t="shared" si="37"/>
        <v>0</v>
      </c>
      <c r="AB97" s="133">
        <f t="shared" si="37"/>
        <v>0</v>
      </c>
      <c r="AC97" s="133">
        <f t="shared" si="37"/>
        <v>0</v>
      </c>
      <c r="AD97" s="133">
        <f t="shared" si="37"/>
        <v>0</v>
      </c>
      <c r="AE97" s="133">
        <f t="shared" si="37"/>
        <v>0</v>
      </c>
      <c r="AF97" s="133">
        <f t="shared" si="37"/>
        <v>0</v>
      </c>
      <c r="AG97" s="133">
        <f t="shared" si="37"/>
        <v>0</v>
      </c>
      <c r="AH97" s="133">
        <f t="shared" si="37"/>
        <v>0</v>
      </c>
      <c r="AI97" s="133">
        <f t="shared" si="37"/>
        <v>0</v>
      </c>
    </row>
    <row r="98" spans="1:35" s="5" customFormat="1" ht="18" customHeight="1" x14ac:dyDescent="0.25">
      <c r="A98" s="132" t="s">
        <v>108</v>
      </c>
      <c r="B98" s="146"/>
      <c r="C98" s="122"/>
      <c r="D98" s="137"/>
      <c r="E98" s="133"/>
      <c r="F98" s="133">
        <f t="shared" ref="F98:AI98" si="38">IF(F$44&lt;=projectlife,-$B$38*F$47,0)</f>
        <v>0</v>
      </c>
      <c r="G98" s="133">
        <f t="shared" si="38"/>
        <v>0</v>
      </c>
      <c r="H98" s="133">
        <f t="shared" si="38"/>
        <v>0</v>
      </c>
      <c r="I98" s="133">
        <f t="shared" si="38"/>
        <v>0</v>
      </c>
      <c r="J98" s="133">
        <f t="shared" si="38"/>
        <v>0</v>
      </c>
      <c r="K98" s="133">
        <f t="shared" si="38"/>
        <v>0</v>
      </c>
      <c r="L98" s="133">
        <f t="shared" si="38"/>
        <v>0</v>
      </c>
      <c r="M98" s="133">
        <f t="shared" si="38"/>
        <v>0</v>
      </c>
      <c r="N98" s="133">
        <f t="shared" si="38"/>
        <v>0</v>
      </c>
      <c r="O98" s="133">
        <f t="shared" si="38"/>
        <v>0</v>
      </c>
      <c r="P98" s="133">
        <f t="shared" si="38"/>
        <v>0</v>
      </c>
      <c r="Q98" s="133">
        <f t="shared" si="38"/>
        <v>0</v>
      </c>
      <c r="R98" s="133">
        <f t="shared" si="38"/>
        <v>0</v>
      </c>
      <c r="S98" s="133">
        <f t="shared" si="38"/>
        <v>0</v>
      </c>
      <c r="T98" s="133">
        <f t="shared" si="38"/>
        <v>0</v>
      </c>
      <c r="U98" s="133">
        <f t="shared" si="38"/>
        <v>0</v>
      </c>
      <c r="V98" s="133">
        <f t="shared" si="38"/>
        <v>0</v>
      </c>
      <c r="W98" s="133">
        <f t="shared" si="38"/>
        <v>0</v>
      </c>
      <c r="X98" s="133">
        <f t="shared" si="38"/>
        <v>0</v>
      </c>
      <c r="Y98" s="133">
        <f t="shared" si="38"/>
        <v>0</v>
      </c>
      <c r="Z98" s="133">
        <f t="shared" si="38"/>
        <v>0</v>
      </c>
      <c r="AA98" s="133">
        <f t="shared" si="38"/>
        <v>0</v>
      </c>
      <c r="AB98" s="133">
        <f t="shared" si="38"/>
        <v>0</v>
      </c>
      <c r="AC98" s="133">
        <f t="shared" si="38"/>
        <v>0</v>
      </c>
      <c r="AD98" s="133">
        <f t="shared" si="38"/>
        <v>0</v>
      </c>
      <c r="AE98" s="133">
        <f t="shared" si="38"/>
        <v>0</v>
      </c>
      <c r="AF98" s="133">
        <f t="shared" si="38"/>
        <v>0</v>
      </c>
      <c r="AG98" s="133">
        <f t="shared" si="38"/>
        <v>0</v>
      </c>
      <c r="AH98" s="133">
        <f t="shared" si="38"/>
        <v>0</v>
      </c>
      <c r="AI98" s="133">
        <f t="shared" si="38"/>
        <v>0</v>
      </c>
    </row>
    <row r="99" spans="1:35" s="5" customFormat="1" ht="18" customHeight="1" x14ac:dyDescent="0.25">
      <c r="A99" s="125" t="s">
        <v>98</v>
      </c>
      <c r="B99" s="125"/>
      <c r="C99" s="122"/>
      <c r="D99" s="137"/>
      <c r="E99" s="122"/>
      <c r="F99" s="122">
        <f t="shared" ref="F99" si="39">SUM(F95:F98)</f>
        <v>0</v>
      </c>
      <c r="G99" s="122">
        <f t="shared" ref="G99" si="40">SUM(G95:G98)</f>
        <v>0</v>
      </c>
      <c r="H99" s="122">
        <f t="shared" ref="H99" si="41">SUM(H95:H98)</f>
        <v>0</v>
      </c>
      <c r="I99" s="122">
        <f t="shared" ref="I99" si="42">SUM(I95:I98)</f>
        <v>0</v>
      </c>
      <c r="J99" s="122">
        <f t="shared" ref="J99" si="43">SUM(J95:J98)</f>
        <v>0</v>
      </c>
      <c r="K99" s="122">
        <f t="shared" ref="K99" si="44">SUM(K95:K98)</f>
        <v>0</v>
      </c>
      <c r="L99" s="122">
        <f t="shared" ref="L99" si="45">SUM(L95:L98)</f>
        <v>0</v>
      </c>
      <c r="M99" s="122">
        <f t="shared" ref="M99" si="46">SUM(M95:M98)</f>
        <v>0</v>
      </c>
      <c r="N99" s="122">
        <f t="shared" ref="N99" si="47">SUM(N95:N98)</f>
        <v>0</v>
      </c>
      <c r="O99" s="122">
        <f t="shared" ref="O99" si="48">SUM(O95:O98)</f>
        <v>0</v>
      </c>
      <c r="P99" s="122">
        <f t="shared" ref="P99" si="49">SUM(P95:P98)</f>
        <v>0</v>
      </c>
      <c r="Q99" s="122">
        <f t="shared" ref="Q99" si="50">SUM(Q95:Q98)</f>
        <v>0</v>
      </c>
      <c r="R99" s="122">
        <f t="shared" ref="R99" si="51">SUM(R95:R98)</f>
        <v>0</v>
      </c>
      <c r="S99" s="122">
        <f t="shared" ref="S99" si="52">SUM(S95:S98)</f>
        <v>0</v>
      </c>
      <c r="T99" s="122">
        <f t="shared" ref="T99" si="53">SUM(T95:T98)</f>
        <v>0</v>
      </c>
      <c r="U99" s="122">
        <f t="shared" ref="U99" si="54">SUM(U95:U98)</f>
        <v>0</v>
      </c>
      <c r="V99" s="122">
        <f t="shared" ref="V99" si="55">SUM(V95:V98)</f>
        <v>0</v>
      </c>
      <c r="W99" s="122">
        <f t="shared" ref="W99" si="56">SUM(W95:W98)</f>
        <v>0</v>
      </c>
      <c r="X99" s="122">
        <f t="shared" ref="X99" si="57">SUM(X95:X98)</f>
        <v>0</v>
      </c>
      <c r="Y99" s="122">
        <f t="shared" ref="Y99" si="58">SUM(Y95:Y98)</f>
        <v>0</v>
      </c>
      <c r="Z99" s="122">
        <f t="shared" ref="Z99" si="59">SUM(Z95:Z98)</f>
        <v>0</v>
      </c>
      <c r="AA99" s="122">
        <f t="shared" ref="AA99" si="60">SUM(AA95:AA98)</f>
        <v>0</v>
      </c>
      <c r="AB99" s="122">
        <f t="shared" ref="AB99" si="61">SUM(AB95:AB98)</f>
        <v>0</v>
      </c>
      <c r="AC99" s="122">
        <f t="shared" ref="AC99" si="62">SUM(AC95:AC98)</f>
        <v>0</v>
      </c>
      <c r="AD99" s="122">
        <f t="shared" ref="AD99" si="63">SUM(AD95:AD98)</f>
        <v>0</v>
      </c>
      <c r="AE99" s="122">
        <f t="shared" ref="AE99" si="64">SUM(AE95:AE98)</f>
        <v>0</v>
      </c>
      <c r="AF99" s="122">
        <f t="shared" ref="AF99" si="65">SUM(AF95:AF98)</f>
        <v>0</v>
      </c>
      <c r="AG99" s="122">
        <f t="shared" ref="AG99" si="66">SUM(AG95:AG98)</f>
        <v>0</v>
      </c>
      <c r="AH99" s="122">
        <f t="shared" ref="AH99" si="67">SUM(AH95:AH98)</f>
        <v>0</v>
      </c>
      <c r="AI99" s="122">
        <f t="shared" ref="AI99" si="68">SUM(AI95:AI98)</f>
        <v>0</v>
      </c>
    </row>
    <row r="100" spans="1:35" s="5" customFormat="1" ht="18" customHeight="1" x14ac:dyDescent="0.25">
      <c r="A100" s="146" t="s">
        <v>32</v>
      </c>
      <c r="B100" s="146"/>
      <c r="C100" s="122"/>
      <c r="D100" s="137"/>
      <c r="E100" s="122"/>
      <c r="F100" s="122">
        <f t="shared" ref="F100:AI100" si="69">IF(ProjectYear&lt;=projectlife,-OpCost_Yr*F$47*(1+OpCostAdj_Yr)^(ProjectYear-1),0)</f>
        <v>0</v>
      </c>
      <c r="G100" s="122">
        <f t="shared" si="69"/>
        <v>0</v>
      </c>
      <c r="H100" s="122">
        <f t="shared" si="69"/>
        <v>0</v>
      </c>
      <c r="I100" s="122">
        <f t="shared" si="69"/>
        <v>0</v>
      </c>
      <c r="J100" s="122">
        <f t="shared" si="69"/>
        <v>0</v>
      </c>
      <c r="K100" s="122">
        <f t="shared" si="69"/>
        <v>0</v>
      </c>
      <c r="L100" s="122">
        <f t="shared" si="69"/>
        <v>0</v>
      </c>
      <c r="M100" s="122">
        <f t="shared" si="69"/>
        <v>0</v>
      </c>
      <c r="N100" s="122">
        <f t="shared" si="69"/>
        <v>0</v>
      </c>
      <c r="O100" s="122">
        <f t="shared" si="69"/>
        <v>0</v>
      </c>
      <c r="P100" s="122">
        <f t="shared" si="69"/>
        <v>0</v>
      </c>
      <c r="Q100" s="122">
        <f t="shared" si="69"/>
        <v>0</v>
      </c>
      <c r="R100" s="122">
        <f t="shared" si="69"/>
        <v>0</v>
      </c>
      <c r="S100" s="122">
        <f t="shared" si="69"/>
        <v>0</v>
      </c>
      <c r="T100" s="122">
        <f t="shared" si="69"/>
        <v>0</v>
      </c>
      <c r="U100" s="122">
        <f t="shared" si="69"/>
        <v>0</v>
      </c>
      <c r="V100" s="122">
        <f t="shared" si="69"/>
        <v>0</v>
      </c>
      <c r="W100" s="122">
        <f t="shared" si="69"/>
        <v>0</v>
      </c>
      <c r="X100" s="122">
        <f t="shared" si="69"/>
        <v>0</v>
      </c>
      <c r="Y100" s="122">
        <f t="shared" si="69"/>
        <v>0</v>
      </c>
      <c r="Z100" s="122">
        <f t="shared" si="69"/>
        <v>0</v>
      </c>
      <c r="AA100" s="122">
        <f t="shared" si="69"/>
        <v>0</v>
      </c>
      <c r="AB100" s="122">
        <f t="shared" si="69"/>
        <v>0</v>
      </c>
      <c r="AC100" s="122">
        <f t="shared" si="69"/>
        <v>0</v>
      </c>
      <c r="AD100" s="122">
        <f t="shared" si="69"/>
        <v>0</v>
      </c>
      <c r="AE100" s="122">
        <f t="shared" si="69"/>
        <v>0</v>
      </c>
      <c r="AF100" s="122">
        <f t="shared" si="69"/>
        <v>0</v>
      </c>
      <c r="AG100" s="122">
        <f t="shared" si="69"/>
        <v>0</v>
      </c>
      <c r="AH100" s="122">
        <f t="shared" si="69"/>
        <v>0</v>
      </c>
      <c r="AI100" s="122">
        <f t="shared" si="69"/>
        <v>0</v>
      </c>
    </row>
    <row r="101" spans="1:35" s="5" customFormat="1" ht="18" customHeight="1" x14ac:dyDescent="0.25">
      <c r="A101" s="147" t="s">
        <v>30</v>
      </c>
      <c r="B101" s="147"/>
      <c r="C101" s="122"/>
      <c r="D101" s="137"/>
      <c r="E101" s="122"/>
      <c r="F101" s="122">
        <f t="shared" ref="F101:AI101" si="70">IF(ProjectYear&lt;=projectlife,IF(F$44/ReplaceInverterYear=ROUND(F$44/ReplaceInverterYear,0),-InverterReplaceCost*SystemSize*F$47,0),0)</f>
        <v>0</v>
      </c>
      <c r="G101" s="122">
        <f t="shared" si="70"/>
        <v>0</v>
      </c>
      <c r="H101" s="122">
        <f t="shared" si="70"/>
        <v>0</v>
      </c>
      <c r="I101" s="122">
        <f t="shared" si="70"/>
        <v>0</v>
      </c>
      <c r="J101" s="122">
        <f t="shared" si="70"/>
        <v>0</v>
      </c>
      <c r="K101" s="122">
        <f t="shared" si="70"/>
        <v>0</v>
      </c>
      <c r="L101" s="122">
        <f t="shared" si="70"/>
        <v>0</v>
      </c>
      <c r="M101" s="122">
        <f t="shared" si="70"/>
        <v>0</v>
      </c>
      <c r="N101" s="122">
        <f t="shared" si="70"/>
        <v>0</v>
      </c>
      <c r="O101" s="122">
        <f t="shared" si="70"/>
        <v>0</v>
      </c>
      <c r="P101" s="122">
        <f t="shared" si="70"/>
        <v>0</v>
      </c>
      <c r="Q101" s="122">
        <f t="shared" si="70"/>
        <v>0</v>
      </c>
      <c r="R101" s="122">
        <f t="shared" si="70"/>
        <v>0</v>
      </c>
      <c r="S101" s="122">
        <f t="shared" si="70"/>
        <v>0</v>
      </c>
      <c r="T101" s="122">
        <f t="shared" si="70"/>
        <v>0</v>
      </c>
      <c r="U101" s="122">
        <f t="shared" si="70"/>
        <v>0</v>
      </c>
      <c r="V101" s="122">
        <f t="shared" si="70"/>
        <v>0</v>
      </c>
      <c r="W101" s="122">
        <f t="shared" si="70"/>
        <v>0</v>
      </c>
      <c r="X101" s="122">
        <f t="shared" si="70"/>
        <v>0</v>
      </c>
      <c r="Y101" s="122">
        <f t="shared" si="70"/>
        <v>0</v>
      </c>
      <c r="Z101" s="122">
        <f t="shared" si="70"/>
        <v>0</v>
      </c>
      <c r="AA101" s="122">
        <f t="shared" si="70"/>
        <v>0</v>
      </c>
      <c r="AB101" s="122">
        <f t="shared" si="70"/>
        <v>0</v>
      </c>
      <c r="AC101" s="122">
        <f t="shared" si="70"/>
        <v>0</v>
      </c>
      <c r="AD101" s="122">
        <f t="shared" si="70"/>
        <v>0</v>
      </c>
      <c r="AE101" s="122">
        <f t="shared" si="70"/>
        <v>0</v>
      </c>
      <c r="AF101" s="122">
        <f t="shared" si="70"/>
        <v>0</v>
      </c>
      <c r="AG101" s="122">
        <f t="shared" si="70"/>
        <v>0</v>
      </c>
      <c r="AH101" s="122">
        <f t="shared" si="70"/>
        <v>0</v>
      </c>
      <c r="AI101" s="122">
        <f t="shared" si="70"/>
        <v>0</v>
      </c>
    </row>
    <row r="102" spans="1:35" s="5" customFormat="1" ht="18" customHeight="1" x14ac:dyDescent="0.25">
      <c r="A102" s="125" t="s">
        <v>33</v>
      </c>
      <c r="B102" s="125"/>
      <c r="C102" s="122"/>
      <c r="D102" s="137"/>
      <c r="E102" s="122"/>
      <c r="F102" s="122">
        <f>F100+F101</f>
        <v>0</v>
      </c>
      <c r="G102" s="122">
        <f t="shared" ref="G102:AI102" si="71">G100+G101</f>
        <v>0</v>
      </c>
      <c r="H102" s="122">
        <f t="shared" si="71"/>
        <v>0</v>
      </c>
      <c r="I102" s="122">
        <f t="shared" si="71"/>
        <v>0</v>
      </c>
      <c r="J102" s="122">
        <f t="shared" si="71"/>
        <v>0</v>
      </c>
      <c r="K102" s="122">
        <f t="shared" si="71"/>
        <v>0</v>
      </c>
      <c r="L102" s="122">
        <f t="shared" si="71"/>
        <v>0</v>
      </c>
      <c r="M102" s="122">
        <f t="shared" si="71"/>
        <v>0</v>
      </c>
      <c r="N102" s="122">
        <f t="shared" si="71"/>
        <v>0</v>
      </c>
      <c r="O102" s="122">
        <f t="shared" si="71"/>
        <v>0</v>
      </c>
      <c r="P102" s="122">
        <f t="shared" si="71"/>
        <v>0</v>
      </c>
      <c r="Q102" s="122">
        <f t="shared" si="71"/>
        <v>0</v>
      </c>
      <c r="R102" s="122">
        <f t="shared" si="71"/>
        <v>0</v>
      </c>
      <c r="S102" s="122">
        <f t="shared" si="71"/>
        <v>0</v>
      </c>
      <c r="T102" s="122">
        <f t="shared" si="71"/>
        <v>0</v>
      </c>
      <c r="U102" s="122">
        <f t="shared" si="71"/>
        <v>0</v>
      </c>
      <c r="V102" s="122">
        <f t="shared" si="71"/>
        <v>0</v>
      </c>
      <c r="W102" s="122">
        <f t="shared" si="71"/>
        <v>0</v>
      </c>
      <c r="X102" s="122">
        <f t="shared" si="71"/>
        <v>0</v>
      </c>
      <c r="Y102" s="122">
        <f t="shared" si="71"/>
        <v>0</v>
      </c>
      <c r="Z102" s="122">
        <f t="shared" si="71"/>
        <v>0</v>
      </c>
      <c r="AA102" s="122">
        <f t="shared" si="71"/>
        <v>0</v>
      </c>
      <c r="AB102" s="122">
        <f t="shared" si="71"/>
        <v>0</v>
      </c>
      <c r="AC102" s="122">
        <f t="shared" si="71"/>
        <v>0</v>
      </c>
      <c r="AD102" s="122">
        <f t="shared" si="71"/>
        <v>0</v>
      </c>
      <c r="AE102" s="122">
        <f t="shared" si="71"/>
        <v>0</v>
      </c>
      <c r="AF102" s="122">
        <f t="shared" si="71"/>
        <v>0</v>
      </c>
      <c r="AG102" s="122">
        <f t="shared" si="71"/>
        <v>0</v>
      </c>
      <c r="AH102" s="122">
        <f t="shared" si="71"/>
        <v>0</v>
      </c>
      <c r="AI102" s="122">
        <f t="shared" si="71"/>
        <v>0</v>
      </c>
    </row>
    <row r="103" spans="1:35" s="5" customFormat="1" ht="18" customHeight="1" x14ac:dyDescent="0.25">
      <c r="A103" s="149" t="s">
        <v>99</v>
      </c>
      <c r="B103" s="149" t="s">
        <v>35</v>
      </c>
      <c r="C103" s="122"/>
      <c r="D103" s="137"/>
      <c r="E103" s="122"/>
      <c r="F103" s="122">
        <f t="shared" ref="F103:G103" si="72">F99+F102</f>
        <v>0</v>
      </c>
      <c r="G103" s="122">
        <f t="shared" si="72"/>
        <v>0</v>
      </c>
      <c r="H103" s="122">
        <f>H99+H102</f>
        <v>0</v>
      </c>
      <c r="I103" s="122">
        <f t="shared" ref="I103:AI103" si="73">I99+I102</f>
        <v>0</v>
      </c>
      <c r="J103" s="122">
        <f t="shared" si="73"/>
        <v>0</v>
      </c>
      <c r="K103" s="122">
        <f t="shared" si="73"/>
        <v>0</v>
      </c>
      <c r="L103" s="122">
        <f t="shared" si="73"/>
        <v>0</v>
      </c>
      <c r="M103" s="122">
        <f t="shared" si="73"/>
        <v>0</v>
      </c>
      <c r="N103" s="122">
        <f t="shared" si="73"/>
        <v>0</v>
      </c>
      <c r="O103" s="122">
        <f t="shared" si="73"/>
        <v>0</v>
      </c>
      <c r="P103" s="122">
        <f t="shared" si="73"/>
        <v>0</v>
      </c>
      <c r="Q103" s="122">
        <f t="shared" si="73"/>
        <v>0</v>
      </c>
      <c r="R103" s="122">
        <f t="shared" si="73"/>
        <v>0</v>
      </c>
      <c r="S103" s="122">
        <f t="shared" si="73"/>
        <v>0</v>
      </c>
      <c r="T103" s="122">
        <f t="shared" si="73"/>
        <v>0</v>
      </c>
      <c r="U103" s="122">
        <f t="shared" si="73"/>
        <v>0</v>
      </c>
      <c r="V103" s="122">
        <f t="shared" si="73"/>
        <v>0</v>
      </c>
      <c r="W103" s="122">
        <f t="shared" si="73"/>
        <v>0</v>
      </c>
      <c r="X103" s="122">
        <f t="shared" si="73"/>
        <v>0</v>
      </c>
      <c r="Y103" s="122">
        <f t="shared" si="73"/>
        <v>0</v>
      </c>
      <c r="Z103" s="122">
        <f t="shared" si="73"/>
        <v>0</v>
      </c>
      <c r="AA103" s="122">
        <f t="shared" si="73"/>
        <v>0</v>
      </c>
      <c r="AB103" s="122">
        <f t="shared" si="73"/>
        <v>0</v>
      </c>
      <c r="AC103" s="122">
        <f t="shared" si="73"/>
        <v>0</v>
      </c>
      <c r="AD103" s="122">
        <f t="shared" si="73"/>
        <v>0</v>
      </c>
      <c r="AE103" s="122">
        <f t="shared" si="73"/>
        <v>0</v>
      </c>
      <c r="AF103" s="122">
        <f t="shared" si="73"/>
        <v>0</v>
      </c>
      <c r="AG103" s="122">
        <f t="shared" si="73"/>
        <v>0</v>
      </c>
      <c r="AH103" s="122">
        <f t="shared" si="73"/>
        <v>0</v>
      </c>
      <c r="AI103" s="122">
        <f t="shared" si="73"/>
        <v>0</v>
      </c>
    </row>
    <row r="104" spans="1:35" s="5" customFormat="1" ht="18" customHeight="1" x14ac:dyDescent="0.25">
      <c r="A104" s="147" t="s">
        <v>56</v>
      </c>
      <c r="B104" s="147"/>
      <c r="C104" s="122"/>
      <c r="D104" s="137"/>
      <c r="E104" s="122"/>
      <c r="F104" s="122">
        <f>IF($B$9="Non-Taxable",0,-(AssetBasis)*F$47*DEP_01)</f>
        <v>0</v>
      </c>
      <c r="G104" s="122">
        <f>IF($B$9="Non-Taxable",0,-(AssetBasis)*G$47*Dep_02)</f>
        <v>0</v>
      </c>
      <c r="H104" s="122">
        <f>IF($B$9="Non-Taxable",0,-(AssetBasis)*H$47*Dep_03)</f>
        <v>0</v>
      </c>
      <c r="I104" s="122">
        <f>IF($B$9="Non-Taxable",0,-(AssetBasis)*I$47*DEP_04)</f>
        <v>0</v>
      </c>
      <c r="J104" s="122">
        <f>IF($B$9="Non-Taxable",0,-(AssetBasis)*J$47*DEP_05)</f>
        <v>0</v>
      </c>
      <c r="K104" s="122">
        <f>IF($B$9="Non-Taxable",0,-(AssetBasis)*K$47*DEP_06)</f>
        <v>0</v>
      </c>
      <c r="L104" s="122">
        <f>IF($B$9="Non-Taxable",0,-(AssetBasis)*L$47*DEP_07)</f>
        <v>0</v>
      </c>
      <c r="M104" s="122">
        <f>IF($B$9="Non-Taxable",0,-(AssetBasis)*M$47*DEP_08)</f>
        <v>0</v>
      </c>
      <c r="N104" s="122">
        <f>IF($B$9="Non-Taxable",0,-(AssetBasis)*N$47*DEP_09)</f>
        <v>0</v>
      </c>
      <c r="O104" s="122">
        <f>IF($B$9="Non-Taxable",0,-(AssetBasis)*O$47*DEP_10)</f>
        <v>0</v>
      </c>
      <c r="P104" s="122">
        <f>IF($B$9="Non-Taxable",0,-(AssetBasis)*P$47*DEP_11)</f>
        <v>0</v>
      </c>
      <c r="Q104" s="122">
        <f>IF($B$9="Non-Taxable",0,-(AssetBasis)*Q$47*DEP_12)</f>
        <v>0</v>
      </c>
      <c r="R104" s="122">
        <f>IF($B$9="Non-Taxable",0,-(AssetBasis)*R$47*DEP_13)</f>
        <v>0</v>
      </c>
      <c r="S104" s="122">
        <f>IF($B$9="Non-Taxable",0,-(AssetBasis)*S$47*DEP_14)</f>
        <v>0</v>
      </c>
      <c r="T104" s="122">
        <f>IF($B$9="Non-Taxable",0,-(AssetBasis)*T$47*DEP_15)</f>
        <v>0</v>
      </c>
      <c r="U104" s="122">
        <f>IF($B$9="Non-Taxable",0,-(AssetBasis)*U$47*DEP_16)</f>
        <v>0</v>
      </c>
      <c r="V104" s="122">
        <f>IF($B$9="Non-Taxable",0,-(AssetBasis)*V$47*DEP_17)</f>
        <v>0</v>
      </c>
      <c r="W104" s="122">
        <f>IF($B$9="Non-Taxable",0,-(AssetBasis)*W$47*DEP_18)</f>
        <v>0</v>
      </c>
      <c r="X104" s="122">
        <f>IF($B$9="Non-Taxable",0,-(AssetBasis)*X$47*DEP_19)</f>
        <v>0</v>
      </c>
      <c r="Y104" s="122">
        <f>IF($B$9="Non-Taxable",0,-(AssetBasis)*Y$47*DEP_20)</f>
        <v>0</v>
      </c>
      <c r="Z104" s="122">
        <f>IF($B$9="Non-Taxable",0,-(AssetBasis)*Z$47*DEP_21)</f>
        <v>0</v>
      </c>
      <c r="AA104" s="122">
        <f>IF($B$9="Non-Taxable",0,-(AssetBasis)*AA$47*DEP_22)</f>
        <v>0</v>
      </c>
      <c r="AB104" s="122">
        <f>IF($B$9="Non-Taxable",0,-(AssetBasis)*AB$47*DEP_23)</f>
        <v>0</v>
      </c>
      <c r="AC104" s="122">
        <f>IF($B$9="Non-Taxable",0,-(AssetBasis)*AC$47*DEP_24)</f>
        <v>0</v>
      </c>
      <c r="AD104" s="122">
        <f>IF($B$9="Non-Taxable",0,-(AssetBasis)*AD$47*DEP_25)</f>
        <v>0</v>
      </c>
      <c r="AE104" s="122">
        <f>IF($B$9="Non-Taxable",0,-(AssetBasis)*AE$47*DEP_26)</f>
        <v>0</v>
      </c>
      <c r="AF104" s="122">
        <f>IF($B$9="Non-Taxable",0,-(AssetBasis)*AF$47*DEP_27)</f>
        <v>0</v>
      </c>
      <c r="AG104" s="122">
        <f>IF($B$9="Non-Taxable",0,-(AssetBasis)*AG$47*DEP_28)</f>
        <v>0</v>
      </c>
      <c r="AH104" s="122">
        <f>IF($B$9="Non-Taxable",0,-(AssetBasis)*AH$47*DEP_29)</f>
        <v>0</v>
      </c>
      <c r="AI104" s="122">
        <f>IF($B$9="Non-Taxable",0,-(AssetBasis)*AI$47*DEP_30)</f>
        <v>0</v>
      </c>
    </row>
    <row r="105" spans="1:35" s="5" customFormat="1" ht="18" customHeight="1" x14ac:dyDescent="0.25">
      <c r="A105" s="149"/>
      <c r="B105" s="149" t="s">
        <v>37</v>
      </c>
      <c r="C105" s="122"/>
      <c r="D105" s="137"/>
      <c r="E105" s="122"/>
      <c r="F105" s="122">
        <f>SUM(F103:F104)</f>
        <v>0</v>
      </c>
      <c r="G105" s="122">
        <f t="shared" ref="G105:J105" si="74">SUM(G103:G104)</f>
        <v>0</v>
      </c>
      <c r="H105" s="122">
        <f t="shared" si="74"/>
        <v>0</v>
      </c>
      <c r="I105" s="122">
        <f t="shared" si="74"/>
        <v>0</v>
      </c>
      <c r="J105" s="122">
        <f t="shared" si="74"/>
        <v>0</v>
      </c>
      <c r="K105" s="122">
        <f>SUM(K103:K104)</f>
        <v>0</v>
      </c>
      <c r="L105" s="122">
        <f t="shared" ref="L105:AI105" si="75">SUM(L103:L104)</f>
        <v>0</v>
      </c>
      <c r="M105" s="122">
        <f t="shared" si="75"/>
        <v>0</v>
      </c>
      <c r="N105" s="122">
        <f t="shared" si="75"/>
        <v>0</v>
      </c>
      <c r="O105" s="122">
        <f t="shared" si="75"/>
        <v>0</v>
      </c>
      <c r="P105" s="122">
        <f t="shared" si="75"/>
        <v>0</v>
      </c>
      <c r="Q105" s="122">
        <f t="shared" si="75"/>
        <v>0</v>
      </c>
      <c r="R105" s="122">
        <f t="shared" si="75"/>
        <v>0</v>
      </c>
      <c r="S105" s="122">
        <f t="shared" si="75"/>
        <v>0</v>
      </c>
      <c r="T105" s="122">
        <f t="shared" si="75"/>
        <v>0</v>
      </c>
      <c r="U105" s="122">
        <f t="shared" si="75"/>
        <v>0</v>
      </c>
      <c r="V105" s="122">
        <f t="shared" si="75"/>
        <v>0</v>
      </c>
      <c r="W105" s="122">
        <f t="shared" si="75"/>
        <v>0</v>
      </c>
      <c r="X105" s="122">
        <f t="shared" si="75"/>
        <v>0</v>
      </c>
      <c r="Y105" s="122">
        <f t="shared" si="75"/>
        <v>0</v>
      </c>
      <c r="Z105" s="122">
        <f t="shared" si="75"/>
        <v>0</v>
      </c>
      <c r="AA105" s="122">
        <f t="shared" si="75"/>
        <v>0</v>
      </c>
      <c r="AB105" s="122">
        <f t="shared" si="75"/>
        <v>0</v>
      </c>
      <c r="AC105" s="122">
        <f t="shared" si="75"/>
        <v>0</v>
      </c>
      <c r="AD105" s="122">
        <f t="shared" si="75"/>
        <v>0</v>
      </c>
      <c r="AE105" s="122">
        <f t="shared" si="75"/>
        <v>0</v>
      </c>
      <c r="AF105" s="122">
        <f t="shared" si="75"/>
        <v>0</v>
      </c>
      <c r="AG105" s="122">
        <f t="shared" si="75"/>
        <v>0</v>
      </c>
      <c r="AH105" s="122">
        <f t="shared" si="75"/>
        <v>0</v>
      </c>
      <c r="AI105" s="122">
        <f t="shared" si="75"/>
        <v>0</v>
      </c>
    </row>
    <row r="106" spans="1:35" s="5" customFormat="1" ht="18" customHeight="1" x14ac:dyDescent="0.25">
      <c r="A106" s="147" t="s">
        <v>38</v>
      </c>
      <c r="B106" s="147"/>
      <c r="C106" s="122"/>
      <c r="D106" s="137"/>
      <c r="E106" s="122"/>
      <c r="F106" s="122">
        <f t="shared" ref="F106:AI106" si="76">F$134</f>
        <v>0</v>
      </c>
      <c r="G106" s="122">
        <f t="shared" si="76"/>
        <v>0</v>
      </c>
      <c r="H106" s="122">
        <f t="shared" si="76"/>
        <v>0</v>
      </c>
      <c r="I106" s="122">
        <f t="shared" si="76"/>
        <v>0</v>
      </c>
      <c r="J106" s="122">
        <f t="shared" si="76"/>
        <v>0</v>
      </c>
      <c r="K106" s="122">
        <f t="shared" si="76"/>
        <v>0</v>
      </c>
      <c r="L106" s="122">
        <f t="shared" si="76"/>
        <v>0</v>
      </c>
      <c r="M106" s="122">
        <f t="shared" si="76"/>
        <v>0</v>
      </c>
      <c r="N106" s="122">
        <f t="shared" si="76"/>
        <v>0</v>
      </c>
      <c r="O106" s="122">
        <f t="shared" si="76"/>
        <v>0</v>
      </c>
      <c r="P106" s="122">
        <f t="shared" si="76"/>
        <v>0</v>
      </c>
      <c r="Q106" s="122">
        <f t="shared" si="76"/>
        <v>0</v>
      </c>
      <c r="R106" s="122">
        <f t="shared" si="76"/>
        <v>0</v>
      </c>
      <c r="S106" s="122">
        <f t="shared" si="76"/>
        <v>0</v>
      </c>
      <c r="T106" s="122">
        <f t="shared" si="76"/>
        <v>0</v>
      </c>
      <c r="U106" s="122">
        <f t="shared" si="76"/>
        <v>0</v>
      </c>
      <c r="V106" s="122">
        <f t="shared" si="76"/>
        <v>0</v>
      </c>
      <c r="W106" s="122">
        <f t="shared" si="76"/>
        <v>0</v>
      </c>
      <c r="X106" s="122">
        <f t="shared" si="76"/>
        <v>0</v>
      </c>
      <c r="Y106" s="122">
        <f t="shared" si="76"/>
        <v>0</v>
      </c>
      <c r="Z106" s="122">
        <f t="shared" si="76"/>
        <v>0</v>
      </c>
      <c r="AA106" s="122">
        <f t="shared" si="76"/>
        <v>0</v>
      </c>
      <c r="AB106" s="122">
        <f t="shared" si="76"/>
        <v>0</v>
      </c>
      <c r="AC106" s="122">
        <f t="shared" si="76"/>
        <v>0</v>
      </c>
      <c r="AD106" s="122">
        <f t="shared" si="76"/>
        <v>0</v>
      </c>
      <c r="AE106" s="122">
        <f t="shared" si="76"/>
        <v>0</v>
      </c>
      <c r="AF106" s="122">
        <f t="shared" si="76"/>
        <v>0</v>
      </c>
      <c r="AG106" s="122">
        <f t="shared" si="76"/>
        <v>0</v>
      </c>
      <c r="AH106" s="122">
        <f t="shared" si="76"/>
        <v>0</v>
      </c>
      <c r="AI106" s="122">
        <f t="shared" si="76"/>
        <v>0</v>
      </c>
    </row>
    <row r="107" spans="1:35" s="5" customFormat="1" ht="18" customHeight="1" x14ac:dyDescent="0.25">
      <c r="A107" s="149"/>
      <c r="B107" s="149" t="s">
        <v>39</v>
      </c>
      <c r="C107" s="122"/>
      <c r="D107" s="137"/>
      <c r="E107" s="122"/>
      <c r="F107" s="122">
        <f>F105+F106</f>
        <v>0</v>
      </c>
      <c r="G107" s="122">
        <f t="shared" ref="G107:I107" si="77">G105+G106</f>
        <v>0</v>
      </c>
      <c r="H107" s="122">
        <f t="shared" si="77"/>
        <v>0</v>
      </c>
      <c r="I107" s="122">
        <f t="shared" si="77"/>
        <v>0</v>
      </c>
      <c r="J107" s="122">
        <f>J105+J106</f>
        <v>0</v>
      </c>
      <c r="K107" s="122">
        <f>K105+K106</f>
        <v>0</v>
      </c>
      <c r="L107" s="122">
        <f t="shared" ref="L107:AI107" si="78">L105+L106</f>
        <v>0</v>
      </c>
      <c r="M107" s="122">
        <f t="shared" si="78"/>
        <v>0</v>
      </c>
      <c r="N107" s="122">
        <f t="shared" si="78"/>
        <v>0</v>
      </c>
      <c r="O107" s="122">
        <f t="shared" si="78"/>
        <v>0</v>
      </c>
      <c r="P107" s="122">
        <f t="shared" si="78"/>
        <v>0</v>
      </c>
      <c r="Q107" s="122">
        <f t="shared" si="78"/>
        <v>0</v>
      </c>
      <c r="R107" s="122">
        <f t="shared" si="78"/>
        <v>0</v>
      </c>
      <c r="S107" s="122">
        <f t="shared" si="78"/>
        <v>0</v>
      </c>
      <c r="T107" s="122">
        <f t="shared" si="78"/>
        <v>0</v>
      </c>
      <c r="U107" s="122">
        <f t="shared" si="78"/>
        <v>0</v>
      </c>
      <c r="V107" s="122">
        <f t="shared" si="78"/>
        <v>0</v>
      </c>
      <c r="W107" s="122">
        <f t="shared" si="78"/>
        <v>0</v>
      </c>
      <c r="X107" s="122">
        <f t="shared" si="78"/>
        <v>0</v>
      </c>
      <c r="Y107" s="122">
        <f t="shared" si="78"/>
        <v>0</v>
      </c>
      <c r="Z107" s="122">
        <f t="shared" si="78"/>
        <v>0</v>
      </c>
      <c r="AA107" s="122">
        <f t="shared" si="78"/>
        <v>0</v>
      </c>
      <c r="AB107" s="122">
        <f t="shared" si="78"/>
        <v>0</v>
      </c>
      <c r="AC107" s="122">
        <f t="shared" si="78"/>
        <v>0</v>
      </c>
      <c r="AD107" s="122">
        <f t="shared" si="78"/>
        <v>0</v>
      </c>
      <c r="AE107" s="122">
        <f t="shared" si="78"/>
        <v>0</v>
      </c>
      <c r="AF107" s="122">
        <f t="shared" si="78"/>
        <v>0</v>
      </c>
      <c r="AG107" s="122">
        <f t="shared" si="78"/>
        <v>0</v>
      </c>
      <c r="AH107" s="122">
        <f t="shared" si="78"/>
        <v>0</v>
      </c>
      <c r="AI107" s="122">
        <f t="shared" si="78"/>
        <v>0</v>
      </c>
    </row>
    <row r="108" spans="1:35" s="30" customFormat="1" ht="18" customHeight="1" x14ac:dyDescent="0.25">
      <c r="A108" s="147" t="s">
        <v>57</v>
      </c>
      <c r="B108" s="147"/>
      <c r="C108" s="122"/>
      <c r="D108" s="137"/>
      <c r="E108" s="122"/>
      <c r="F108" s="122">
        <f t="shared" ref="F108:AI108" si="79">IF(taxable="Non-Taxable",0,IF(F$109&gt;=0,-F$107*FedTaxRate,(-F$107*FedTaxRate)-(F$109*FedTaxRate)))</f>
        <v>0</v>
      </c>
      <c r="G108" s="122">
        <f t="shared" si="79"/>
        <v>0</v>
      </c>
      <c r="H108" s="122">
        <f t="shared" si="79"/>
        <v>0</v>
      </c>
      <c r="I108" s="122">
        <f t="shared" si="79"/>
        <v>0</v>
      </c>
      <c r="J108" s="122">
        <f t="shared" si="79"/>
        <v>0</v>
      </c>
      <c r="K108" s="122">
        <f t="shared" si="79"/>
        <v>0</v>
      </c>
      <c r="L108" s="122">
        <f t="shared" si="79"/>
        <v>0</v>
      </c>
      <c r="M108" s="122">
        <f t="shared" si="79"/>
        <v>0</v>
      </c>
      <c r="N108" s="122">
        <f t="shared" si="79"/>
        <v>0</v>
      </c>
      <c r="O108" s="122">
        <f t="shared" si="79"/>
        <v>0</v>
      </c>
      <c r="P108" s="122">
        <f t="shared" si="79"/>
        <v>0</v>
      </c>
      <c r="Q108" s="122">
        <f t="shared" si="79"/>
        <v>0</v>
      </c>
      <c r="R108" s="122">
        <f t="shared" si="79"/>
        <v>0</v>
      </c>
      <c r="S108" s="122">
        <f t="shared" si="79"/>
        <v>0</v>
      </c>
      <c r="T108" s="122">
        <f t="shared" si="79"/>
        <v>0</v>
      </c>
      <c r="U108" s="122">
        <f t="shared" si="79"/>
        <v>0</v>
      </c>
      <c r="V108" s="122">
        <f t="shared" si="79"/>
        <v>0</v>
      </c>
      <c r="W108" s="122">
        <f t="shared" si="79"/>
        <v>0</v>
      </c>
      <c r="X108" s="122">
        <f t="shared" si="79"/>
        <v>0</v>
      </c>
      <c r="Y108" s="122">
        <f t="shared" si="79"/>
        <v>0</v>
      </c>
      <c r="Z108" s="122">
        <f t="shared" si="79"/>
        <v>0</v>
      </c>
      <c r="AA108" s="122">
        <f t="shared" si="79"/>
        <v>0</v>
      </c>
      <c r="AB108" s="122">
        <f t="shared" si="79"/>
        <v>0</v>
      </c>
      <c r="AC108" s="122">
        <f t="shared" si="79"/>
        <v>0</v>
      </c>
      <c r="AD108" s="122">
        <f t="shared" si="79"/>
        <v>0</v>
      </c>
      <c r="AE108" s="122">
        <f t="shared" si="79"/>
        <v>0</v>
      </c>
      <c r="AF108" s="122">
        <f t="shared" si="79"/>
        <v>0</v>
      </c>
      <c r="AG108" s="122">
        <f t="shared" si="79"/>
        <v>0</v>
      </c>
      <c r="AH108" s="122">
        <f t="shared" si="79"/>
        <v>0</v>
      </c>
      <c r="AI108" s="122">
        <f t="shared" si="79"/>
        <v>0</v>
      </c>
    </row>
    <row r="109" spans="1:35" s="30" customFormat="1" ht="18" customHeight="1" x14ac:dyDescent="0.25">
      <c r="A109" s="150" t="s">
        <v>58</v>
      </c>
      <c r="B109" s="150"/>
      <c r="C109" s="151"/>
      <c r="D109" s="137"/>
      <c r="E109" s="151"/>
      <c r="F109" s="151">
        <f t="shared" ref="F109:AI109" si="80">IF(taxable="Non-Taxable",0,IF(ProjectYear&lt;=projectlife,-(F$107-F$104)*StateTaxRate,0))</f>
        <v>0</v>
      </c>
      <c r="G109" s="151">
        <f t="shared" si="80"/>
        <v>0</v>
      </c>
      <c r="H109" s="151">
        <f t="shared" si="80"/>
        <v>0</v>
      </c>
      <c r="I109" s="151">
        <f t="shared" si="80"/>
        <v>0</v>
      </c>
      <c r="J109" s="151">
        <f t="shared" si="80"/>
        <v>0</v>
      </c>
      <c r="K109" s="151">
        <f t="shared" si="80"/>
        <v>0</v>
      </c>
      <c r="L109" s="151">
        <f t="shared" si="80"/>
        <v>0</v>
      </c>
      <c r="M109" s="151">
        <f t="shared" si="80"/>
        <v>0</v>
      </c>
      <c r="N109" s="151">
        <f t="shared" si="80"/>
        <v>0</v>
      </c>
      <c r="O109" s="151">
        <f t="shared" si="80"/>
        <v>0</v>
      </c>
      <c r="P109" s="151">
        <f t="shared" si="80"/>
        <v>0</v>
      </c>
      <c r="Q109" s="151">
        <f t="shared" si="80"/>
        <v>0</v>
      </c>
      <c r="R109" s="151">
        <f t="shared" si="80"/>
        <v>0</v>
      </c>
      <c r="S109" s="151">
        <f t="shared" si="80"/>
        <v>0</v>
      </c>
      <c r="T109" s="151">
        <f t="shared" si="80"/>
        <v>0</v>
      </c>
      <c r="U109" s="151">
        <f t="shared" si="80"/>
        <v>0</v>
      </c>
      <c r="V109" s="151">
        <f t="shared" si="80"/>
        <v>0</v>
      </c>
      <c r="W109" s="151">
        <f t="shared" si="80"/>
        <v>0</v>
      </c>
      <c r="X109" s="151">
        <f t="shared" si="80"/>
        <v>0</v>
      </c>
      <c r="Y109" s="151">
        <f t="shared" si="80"/>
        <v>0</v>
      </c>
      <c r="Z109" s="151">
        <f t="shared" si="80"/>
        <v>0</v>
      </c>
      <c r="AA109" s="151">
        <f t="shared" si="80"/>
        <v>0</v>
      </c>
      <c r="AB109" s="151">
        <f t="shared" si="80"/>
        <v>0</v>
      </c>
      <c r="AC109" s="151">
        <f t="shared" si="80"/>
        <v>0</v>
      </c>
      <c r="AD109" s="151">
        <f t="shared" si="80"/>
        <v>0</v>
      </c>
      <c r="AE109" s="151">
        <f t="shared" si="80"/>
        <v>0</v>
      </c>
      <c r="AF109" s="151">
        <f t="shared" si="80"/>
        <v>0</v>
      </c>
      <c r="AG109" s="151">
        <f t="shared" si="80"/>
        <v>0</v>
      </c>
      <c r="AH109" s="151">
        <f t="shared" si="80"/>
        <v>0</v>
      </c>
      <c r="AI109" s="151">
        <f t="shared" si="80"/>
        <v>0</v>
      </c>
    </row>
    <row r="110" spans="1:35" s="21" customFormat="1" ht="18" customHeight="1" x14ac:dyDescent="0.25">
      <c r="A110" s="152" t="s">
        <v>40</v>
      </c>
      <c r="B110" s="153"/>
      <c r="C110" s="127"/>
      <c r="D110" s="127"/>
      <c r="E110" s="127"/>
      <c r="F110" s="127">
        <f>SUM(F107:F109)</f>
        <v>0</v>
      </c>
      <c r="G110" s="127">
        <f t="shared" ref="G110:AI110" si="81">SUM(G107:G109)</f>
        <v>0</v>
      </c>
      <c r="H110" s="127">
        <f t="shared" si="81"/>
        <v>0</v>
      </c>
      <c r="I110" s="127">
        <f t="shared" si="81"/>
        <v>0</v>
      </c>
      <c r="J110" s="127">
        <f t="shared" si="81"/>
        <v>0</v>
      </c>
      <c r="K110" s="127">
        <f t="shared" si="81"/>
        <v>0</v>
      </c>
      <c r="L110" s="127">
        <f t="shared" si="81"/>
        <v>0</v>
      </c>
      <c r="M110" s="127">
        <f t="shared" si="81"/>
        <v>0</v>
      </c>
      <c r="N110" s="127">
        <f t="shared" si="81"/>
        <v>0</v>
      </c>
      <c r="O110" s="127">
        <f t="shared" si="81"/>
        <v>0</v>
      </c>
      <c r="P110" s="127">
        <f t="shared" si="81"/>
        <v>0</v>
      </c>
      <c r="Q110" s="127">
        <f t="shared" si="81"/>
        <v>0</v>
      </c>
      <c r="R110" s="127">
        <f t="shared" si="81"/>
        <v>0</v>
      </c>
      <c r="S110" s="127">
        <f t="shared" si="81"/>
        <v>0</v>
      </c>
      <c r="T110" s="127">
        <f t="shared" si="81"/>
        <v>0</v>
      </c>
      <c r="U110" s="127">
        <f t="shared" si="81"/>
        <v>0</v>
      </c>
      <c r="V110" s="127">
        <f t="shared" si="81"/>
        <v>0</v>
      </c>
      <c r="W110" s="127">
        <f t="shared" si="81"/>
        <v>0</v>
      </c>
      <c r="X110" s="127">
        <f t="shared" si="81"/>
        <v>0</v>
      </c>
      <c r="Y110" s="127">
        <f t="shared" si="81"/>
        <v>0</v>
      </c>
      <c r="Z110" s="127">
        <f t="shared" si="81"/>
        <v>0</v>
      </c>
      <c r="AA110" s="127">
        <f t="shared" si="81"/>
        <v>0</v>
      </c>
      <c r="AB110" s="127">
        <f t="shared" si="81"/>
        <v>0</v>
      </c>
      <c r="AC110" s="127">
        <f t="shared" si="81"/>
        <v>0</v>
      </c>
      <c r="AD110" s="127">
        <f t="shared" si="81"/>
        <v>0</v>
      </c>
      <c r="AE110" s="127">
        <f t="shared" si="81"/>
        <v>0</v>
      </c>
      <c r="AF110" s="127">
        <f t="shared" si="81"/>
        <v>0</v>
      </c>
      <c r="AG110" s="127">
        <f t="shared" si="81"/>
        <v>0</v>
      </c>
      <c r="AH110" s="127">
        <f t="shared" si="81"/>
        <v>0</v>
      </c>
      <c r="AI110" s="128">
        <f t="shared" si="81"/>
        <v>0</v>
      </c>
    </row>
    <row r="111" spans="1:35" s="5" customFormat="1" ht="18" customHeight="1" x14ac:dyDescent="0.25">
      <c r="A111" s="144" t="s">
        <v>53</v>
      </c>
      <c r="B111" s="144"/>
      <c r="C111" s="122"/>
      <c r="D111" s="137"/>
      <c r="E111" s="122"/>
      <c r="F111" s="132"/>
      <c r="G111" s="132"/>
      <c r="H111" s="13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row>
    <row r="112" spans="1:35" s="5" customFormat="1" ht="18" customHeight="1" x14ac:dyDescent="0.25">
      <c r="A112" s="121" t="s">
        <v>103</v>
      </c>
      <c r="B112" s="121"/>
      <c r="C112" s="122"/>
      <c r="D112" s="137"/>
      <c r="E112" s="122"/>
      <c r="F112" s="122">
        <f>F110-F104</f>
        <v>0</v>
      </c>
      <c r="G112" s="122">
        <f t="shared" ref="G112:AI112" si="82">G110-G104</f>
        <v>0</v>
      </c>
      <c r="H112" s="122">
        <f t="shared" si="82"/>
        <v>0</v>
      </c>
      <c r="I112" s="122">
        <f t="shared" si="82"/>
        <v>0</v>
      </c>
      <c r="J112" s="122">
        <f t="shared" si="82"/>
        <v>0</v>
      </c>
      <c r="K112" s="122">
        <f t="shared" si="82"/>
        <v>0</v>
      </c>
      <c r="L112" s="122">
        <f t="shared" si="82"/>
        <v>0</v>
      </c>
      <c r="M112" s="122">
        <f t="shared" si="82"/>
        <v>0</v>
      </c>
      <c r="N112" s="122">
        <f t="shared" si="82"/>
        <v>0</v>
      </c>
      <c r="O112" s="122">
        <f t="shared" si="82"/>
        <v>0</v>
      </c>
      <c r="P112" s="122">
        <f t="shared" si="82"/>
        <v>0</v>
      </c>
      <c r="Q112" s="122">
        <f t="shared" si="82"/>
        <v>0</v>
      </c>
      <c r="R112" s="122">
        <f t="shared" si="82"/>
        <v>0</v>
      </c>
      <c r="S112" s="122">
        <f t="shared" si="82"/>
        <v>0</v>
      </c>
      <c r="T112" s="122">
        <f t="shared" si="82"/>
        <v>0</v>
      </c>
      <c r="U112" s="122">
        <f t="shared" si="82"/>
        <v>0</v>
      </c>
      <c r="V112" s="122">
        <f t="shared" si="82"/>
        <v>0</v>
      </c>
      <c r="W112" s="122">
        <f t="shared" si="82"/>
        <v>0</v>
      </c>
      <c r="X112" s="122">
        <f t="shared" si="82"/>
        <v>0</v>
      </c>
      <c r="Y112" s="122">
        <f t="shared" si="82"/>
        <v>0</v>
      </c>
      <c r="Z112" s="122">
        <f t="shared" si="82"/>
        <v>0</v>
      </c>
      <c r="AA112" s="122">
        <f t="shared" si="82"/>
        <v>0</v>
      </c>
      <c r="AB112" s="122">
        <f t="shared" si="82"/>
        <v>0</v>
      </c>
      <c r="AC112" s="122">
        <f t="shared" si="82"/>
        <v>0</v>
      </c>
      <c r="AD112" s="122">
        <f t="shared" si="82"/>
        <v>0</v>
      </c>
      <c r="AE112" s="122">
        <f t="shared" si="82"/>
        <v>0</v>
      </c>
      <c r="AF112" s="122">
        <f t="shared" si="82"/>
        <v>0</v>
      </c>
      <c r="AG112" s="122">
        <f t="shared" si="82"/>
        <v>0</v>
      </c>
      <c r="AH112" s="122">
        <f t="shared" si="82"/>
        <v>0</v>
      </c>
      <c r="AI112" s="122">
        <f t="shared" si="82"/>
        <v>0</v>
      </c>
    </row>
    <row r="113" spans="1:36" s="5" customFormat="1" ht="18" customHeight="1" x14ac:dyDescent="0.25">
      <c r="A113" s="121" t="s">
        <v>46</v>
      </c>
      <c r="B113" s="121"/>
      <c r="C113" s="122"/>
      <c r="D113" s="137"/>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row>
    <row r="114" spans="1:36" s="5" customFormat="1" ht="18" customHeight="1" x14ac:dyDescent="0.25">
      <c r="A114" s="124" t="s">
        <v>138</v>
      </c>
      <c r="B114" s="124"/>
      <c r="C114" s="122"/>
      <c r="D114" s="137"/>
      <c r="E114" s="122"/>
      <c r="F114" s="122">
        <f t="shared" ref="F114:AI114" si="83">IF(F$44=$B$16,-$B$15,0)</f>
        <v>0</v>
      </c>
      <c r="G114" s="122">
        <f t="shared" si="83"/>
        <v>0</v>
      </c>
      <c r="H114" s="122">
        <f t="shared" si="83"/>
        <v>0</v>
      </c>
      <c r="I114" s="122">
        <f t="shared" si="83"/>
        <v>0</v>
      </c>
      <c r="J114" s="122">
        <f t="shared" si="83"/>
        <v>0</v>
      </c>
      <c r="K114" s="122">
        <f t="shared" si="83"/>
        <v>0</v>
      </c>
      <c r="L114" s="122">
        <f t="shared" si="83"/>
        <v>0</v>
      </c>
      <c r="M114" s="122">
        <f t="shared" si="83"/>
        <v>0</v>
      </c>
      <c r="N114" s="122">
        <f t="shared" si="83"/>
        <v>0</v>
      </c>
      <c r="O114" s="122">
        <f t="shared" si="83"/>
        <v>0</v>
      </c>
      <c r="P114" s="122">
        <f t="shared" si="83"/>
        <v>0</v>
      </c>
      <c r="Q114" s="122">
        <f t="shared" si="83"/>
        <v>0</v>
      </c>
      <c r="R114" s="122">
        <f t="shared" si="83"/>
        <v>0</v>
      </c>
      <c r="S114" s="122">
        <f t="shared" si="83"/>
        <v>0</v>
      </c>
      <c r="T114" s="122">
        <f t="shared" si="83"/>
        <v>0</v>
      </c>
      <c r="U114" s="122">
        <f t="shared" si="83"/>
        <v>0</v>
      </c>
      <c r="V114" s="122">
        <f t="shared" si="83"/>
        <v>0</v>
      </c>
      <c r="W114" s="122">
        <f t="shared" si="83"/>
        <v>0</v>
      </c>
      <c r="X114" s="122">
        <f t="shared" si="83"/>
        <v>0</v>
      </c>
      <c r="Y114" s="122">
        <f t="shared" si="83"/>
        <v>0</v>
      </c>
      <c r="Z114" s="122">
        <f t="shared" si="83"/>
        <v>0</v>
      </c>
      <c r="AA114" s="122">
        <f t="shared" si="83"/>
        <v>0</v>
      </c>
      <c r="AB114" s="122">
        <f t="shared" si="83"/>
        <v>0</v>
      </c>
      <c r="AC114" s="122">
        <f t="shared" si="83"/>
        <v>0</v>
      </c>
      <c r="AD114" s="122">
        <f t="shared" si="83"/>
        <v>0</v>
      </c>
      <c r="AE114" s="122">
        <f t="shared" si="83"/>
        <v>0</v>
      </c>
      <c r="AF114" s="122">
        <f t="shared" si="83"/>
        <v>0</v>
      </c>
      <c r="AG114" s="122">
        <f t="shared" si="83"/>
        <v>0</v>
      </c>
      <c r="AH114" s="122">
        <f t="shared" si="83"/>
        <v>0</v>
      </c>
      <c r="AI114" s="122">
        <f t="shared" si="83"/>
        <v>0</v>
      </c>
    </row>
    <row r="115" spans="1:36" s="5" customFormat="1" ht="18" customHeight="1" x14ac:dyDescent="0.25">
      <c r="A115" s="124" t="s">
        <v>61</v>
      </c>
      <c r="B115" s="124"/>
      <c r="C115" s="122"/>
      <c r="D115" s="137"/>
      <c r="E115" s="122"/>
      <c r="F115" s="154"/>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row>
    <row r="116" spans="1:36" s="5" customFormat="1" ht="18" customHeight="1" x14ac:dyDescent="0.25">
      <c r="A116" s="124" t="s">
        <v>77</v>
      </c>
      <c r="B116" s="124"/>
      <c r="C116" s="122"/>
      <c r="D116" s="137"/>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row>
    <row r="117" spans="1:36" s="5" customFormat="1" ht="18" customHeight="1" x14ac:dyDescent="0.25">
      <c r="A117" s="125" t="s">
        <v>47</v>
      </c>
      <c r="B117" s="125"/>
      <c r="C117" s="122"/>
      <c r="D117" s="137"/>
      <c r="E117" s="122"/>
      <c r="F117" s="122">
        <f t="shared" ref="F117:AI117" si="84">SUM(F114:F116)</f>
        <v>0</v>
      </c>
      <c r="G117" s="122">
        <f t="shared" si="84"/>
        <v>0</v>
      </c>
      <c r="H117" s="122">
        <f t="shared" si="84"/>
        <v>0</v>
      </c>
      <c r="I117" s="122">
        <f t="shared" si="84"/>
        <v>0</v>
      </c>
      <c r="J117" s="122">
        <f t="shared" si="84"/>
        <v>0</v>
      </c>
      <c r="K117" s="122">
        <f t="shared" si="84"/>
        <v>0</v>
      </c>
      <c r="L117" s="122">
        <f t="shared" si="84"/>
        <v>0</v>
      </c>
      <c r="M117" s="122">
        <f t="shared" si="84"/>
        <v>0</v>
      </c>
      <c r="N117" s="122">
        <f t="shared" si="84"/>
        <v>0</v>
      </c>
      <c r="O117" s="122">
        <f t="shared" si="84"/>
        <v>0</v>
      </c>
      <c r="P117" s="122">
        <f t="shared" si="84"/>
        <v>0</v>
      </c>
      <c r="Q117" s="122">
        <f t="shared" si="84"/>
        <v>0</v>
      </c>
      <c r="R117" s="122">
        <f t="shared" si="84"/>
        <v>0</v>
      </c>
      <c r="S117" s="122">
        <f t="shared" si="84"/>
        <v>0</v>
      </c>
      <c r="T117" s="122">
        <f t="shared" si="84"/>
        <v>0</v>
      </c>
      <c r="U117" s="122">
        <f t="shared" si="84"/>
        <v>0</v>
      </c>
      <c r="V117" s="122">
        <f t="shared" si="84"/>
        <v>0</v>
      </c>
      <c r="W117" s="122">
        <f t="shared" si="84"/>
        <v>0</v>
      </c>
      <c r="X117" s="122">
        <f t="shared" si="84"/>
        <v>0</v>
      </c>
      <c r="Y117" s="122">
        <f t="shared" si="84"/>
        <v>0</v>
      </c>
      <c r="Z117" s="122">
        <f t="shared" si="84"/>
        <v>0</v>
      </c>
      <c r="AA117" s="122">
        <f t="shared" si="84"/>
        <v>0</v>
      </c>
      <c r="AB117" s="122">
        <f t="shared" si="84"/>
        <v>0</v>
      </c>
      <c r="AC117" s="122">
        <f t="shared" si="84"/>
        <v>0</v>
      </c>
      <c r="AD117" s="122">
        <f t="shared" si="84"/>
        <v>0</v>
      </c>
      <c r="AE117" s="122">
        <f t="shared" si="84"/>
        <v>0</v>
      </c>
      <c r="AF117" s="122">
        <f t="shared" si="84"/>
        <v>0</v>
      </c>
      <c r="AG117" s="122">
        <f t="shared" si="84"/>
        <v>0</v>
      </c>
      <c r="AH117" s="122">
        <f t="shared" si="84"/>
        <v>0</v>
      </c>
      <c r="AI117" s="122">
        <f t="shared" si="84"/>
        <v>0</v>
      </c>
    </row>
    <row r="118" spans="1:36" s="21" customFormat="1" ht="15.75" x14ac:dyDescent="0.25">
      <c r="A118" s="135"/>
      <c r="B118" s="135"/>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row>
    <row r="119" spans="1:36" s="5" customFormat="1" ht="18" x14ac:dyDescent="0.25">
      <c r="A119" s="140" t="s">
        <v>133</v>
      </c>
      <c r="B119" s="155"/>
      <c r="C119" s="122"/>
      <c r="D119" s="137"/>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30"/>
    </row>
    <row r="120" spans="1:36" s="5" customFormat="1" ht="18" customHeight="1" x14ac:dyDescent="0.25">
      <c r="A120" s="121" t="s">
        <v>48</v>
      </c>
      <c r="B120" s="121"/>
      <c r="C120" s="122"/>
      <c r="D120" s="137"/>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row>
    <row r="121" spans="1:36" s="5" customFormat="1" ht="18" customHeight="1" x14ac:dyDescent="0.25">
      <c r="A121" s="123" t="s">
        <v>49</v>
      </c>
      <c r="B121" s="123"/>
      <c r="C121" s="122"/>
      <c r="D121" s="137"/>
      <c r="E121" s="122"/>
      <c r="F121" s="122">
        <f t="shared" ref="F121:AI121" si="85">IF(F$44=$B$16,$I$30,0)</f>
        <v>0</v>
      </c>
      <c r="G121" s="122">
        <f t="shared" si="85"/>
        <v>0</v>
      </c>
      <c r="H121" s="122">
        <f t="shared" si="85"/>
        <v>0</v>
      </c>
      <c r="I121" s="122">
        <f t="shared" si="85"/>
        <v>0</v>
      </c>
      <c r="J121" s="122">
        <f t="shared" si="85"/>
        <v>0</v>
      </c>
      <c r="K121" s="122">
        <f t="shared" si="85"/>
        <v>0</v>
      </c>
      <c r="L121" s="122">
        <f t="shared" si="85"/>
        <v>0</v>
      </c>
      <c r="M121" s="122">
        <f t="shared" si="85"/>
        <v>0</v>
      </c>
      <c r="N121" s="122">
        <f t="shared" si="85"/>
        <v>0</v>
      </c>
      <c r="O121" s="122">
        <f t="shared" si="85"/>
        <v>0</v>
      </c>
      <c r="P121" s="122">
        <f t="shared" si="85"/>
        <v>0</v>
      </c>
      <c r="Q121" s="122">
        <f t="shared" si="85"/>
        <v>0</v>
      </c>
      <c r="R121" s="122">
        <f t="shared" si="85"/>
        <v>0</v>
      </c>
      <c r="S121" s="122">
        <f t="shared" si="85"/>
        <v>0</v>
      </c>
      <c r="T121" s="122">
        <f t="shared" si="85"/>
        <v>0</v>
      </c>
      <c r="U121" s="122">
        <f t="shared" si="85"/>
        <v>0</v>
      </c>
      <c r="V121" s="122">
        <f t="shared" si="85"/>
        <v>0</v>
      </c>
      <c r="W121" s="122">
        <f t="shared" si="85"/>
        <v>0</v>
      </c>
      <c r="X121" s="122">
        <f t="shared" si="85"/>
        <v>0</v>
      </c>
      <c r="Y121" s="122">
        <f t="shared" si="85"/>
        <v>0</v>
      </c>
      <c r="Z121" s="122">
        <f t="shared" si="85"/>
        <v>0</v>
      </c>
      <c r="AA121" s="122">
        <f t="shared" si="85"/>
        <v>0</v>
      </c>
      <c r="AB121" s="122">
        <f t="shared" si="85"/>
        <v>0</v>
      </c>
      <c r="AC121" s="122">
        <f t="shared" si="85"/>
        <v>0</v>
      </c>
      <c r="AD121" s="122">
        <f t="shared" si="85"/>
        <v>0</v>
      </c>
      <c r="AE121" s="122">
        <f t="shared" si="85"/>
        <v>0</v>
      </c>
      <c r="AF121" s="122">
        <f t="shared" si="85"/>
        <v>0</v>
      </c>
      <c r="AG121" s="122">
        <f t="shared" si="85"/>
        <v>0</v>
      </c>
      <c r="AH121" s="122">
        <f t="shared" si="85"/>
        <v>0</v>
      </c>
      <c r="AI121" s="122">
        <f t="shared" si="85"/>
        <v>0</v>
      </c>
    </row>
    <row r="122" spans="1:36" s="5" customFormat="1" ht="18" customHeight="1" x14ac:dyDescent="0.25">
      <c r="A122" s="124" t="s">
        <v>50</v>
      </c>
      <c r="B122" s="124"/>
      <c r="C122" s="122"/>
      <c r="D122" s="137"/>
      <c r="E122" s="122"/>
      <c r="F122" s="122">
        <f t="shared" ref="F122:AI122" si="86">F$133</f>
        <v>0</v>
      </c>
      <c r="G122" s="122">
        <f t="shared" si="86"/>
        <v>0</v>
      </c>
      <c r="H122" s="122">
        <f t="shared" si="86"/>
        <v>0</v>
      </c>
      <c r="I122" s="122">
        <f t="shared" si="86"/>
        <v>0</v>
      </c>
      <c r="J122" s="122">
        <f t="shared" si="86"/>
        <v>0</v>
      </c>
      <c r="K122" s="122">
        <f t="shared" si="86"/>
        <v>0</v>
      </c>
      <c r="L122" s="122">
        <f t="shared" si="86"/>
        <v>0</v>
      </c>
      <c r="M122" s="122">
        <f t="shared" si="86"/>
        <v>0</v>
      </c>
      <c r="N122" s="122">
        <f t="shared" si="86"/>
        <v>0</v>
      </c>
      <c r="O122" s="122">
        <f t="shared" si="86"/>
        <v>0</v>
      </c>
      <c r="P122" s="122">
        <f t="shared" si="86"/>
        <v>0</v>
      </c>
      <c r="Q122" s="122">
        <f t="shared" si="86"/>
        <v>0</v>
      </c>
      <c r="R122" s="122">
        <f t="shared" si="86"/>
        <v>0</v>
      </c>
      <c r="S122" s="122">
        <f t="shared" si="86"/>
        <v>0</v>
      </c>
      <c r="T122" s="122">
        <f t="shared" si="86"/>
        <v>0</v>
      </c>
      <c r="U122" s="122">
        <f t="shared" si="86"/>
        <v>0</v>
      </c>
      <c r="V122" s="122">
        <f t="shared" si="86"/>
        <v>0</v>
      </c>
      <c r="W122" s="122">
        <f t="shared" si="86"/>
        <v>0</v>
      </c>
      <c r="X122" s="122">
        <f t="shared" si="86"/>
        <v>0</v>
      </c>
      <c r="Y122" s="122">
        <f t="shared" si="86"/>
        <v>0</v>
      </c>
      <c r="Z122" s="122">
        <f t="shared" si="86"/>
        <v>0</v>
      </c>
      <c r="AA122" s="122">
        <f t="shared" si="86"/>
        <v>0</v>
      </c>
      <c r="AB122" s="122">
        <f t="shared" si="86"/>
        <v>0</v>
      </c>
      <c r="AC122" s="122">
        <f t="shared" si="86"/>
        <v>0</v>
      </c>
      <c r="AD122" s="122">
        <f t="shared" si="86"/>
        <v>0</v>
      </c>
      <c r="AE122" s="122">
        <f t="shared" si="86"/>
        <v>0</v>
      </c>
      <c r="AF122" s="122">
        <f t="shared" si="86"/>
        <v>0</v>
      </c>
      <c r="AG122" s="122">
        <f t="shared" si="86"/>
        <v>0</v>
      </c>
      <c r="AH122" s="122">
        <f t="shared" si="86"/>
        <v>0</v>
      </c>
      <c r="AI122" s="122">
        <f t="shared" si="86"/>
        <v>0</v>
      </c>
    </row>
    <row r="123" spans="1:36" s="5" customFormat="1" ht="18" customHeight="1" x14ac:dyDescent="0.25">
      <c r="A123" s="125" t="s">
        <v>51</v>
      </c>
      <c r="B123" s="125"/>
      <c r="C123" s="122"/>
      <c r="D123" s="137"/>
      <c r="E123" s="122"/>
      <c r="F123" s="122">
        <f>F121+F122</f>
        <v>0</v>
      </c>
      <c r="G123" s="122">
        <f t="shared" ref="G123:AI123" si="87">G121+G122</f>
        <v>0</v>
      </c>
      <c r="H123" s="122">
        <f t="shared" si="87"/>
        <v>0</v>
      </c>
      <c r="I123" s="122">
        <f t="shared" si="87"/>
        <v>0</v>
      </c>
      <c r="J123" s="122">
        <f t="shared" si="87"/>
        <v>0</v>
      </c>
      <c r="K123" s="122">
        <f t="shared" si="87"/>
        <v>0</v>
      </c>
      <c r="L123" s="122">
        <f t="shared" si="87"/>
        <v>0</v>
      </c>
      <c r="M123" s="122">
        <f t="shared" si="87"/>
        <v>0</v>
      </c>
      <c r="N123" s="122">
        <f t="shared" si="87"/>
        <v>0</v>
      </c>
      <c r="O123" s="122">
        <f t="shared" si="87"/>
        <v>0</v>
      </c>
      <c r="P123" s="122">
        <f t="shared" si="87"/>
        <v>0</v>
      </c>
      <c r="Q123" s="122">
        <f t="shared" si="87"/>
        <v>0</v>
      </c>
      <c r="R123" s="122">
        <f t="shared" si="87"/>
        <v>0</v>
      </c>
      <c r="S123" s="122">
        <f t="shared" si="87"/>
        <v>0</v>
      </c>
      <c r="T123" s="122">
        <f t="shared" si="87"/>
        <v>0</v>
      </c>
      <c r="U123" s="122">
        <f t="shared" si="87"/>
        <v>0</v>
      </c>
      <c r="V123" s="122">
        <f t="shared" si="87"/>
        <v>0</v>
      </c>
      <c r="W123" s="122">
        <f t="shared" si="87"/>
        <v>0</v>
      </c>
      <c r="X123" s="122">
        <f t="shared" si="87"/>
        <v>0</v>
      </c>
      <c r="Y123" s="122">
        <f t="shared" si="87"/>
        <v>0</v>
      </c>
      <c r="Z123" s="122">
        <f t="shared" si="87"/>
        <v>0</v>
      </c>
      <c r="AA123" s="122">
        <f t="shared" si="87"/>
        <v>0</v>
      </c>
      <c r="AB123" s="122">
        <f t="shared" si="87"/>
        <v>0</v>
      </c>
      <c r="AC123" s="122">
        <f t="shared" si="87"/>
        <v>0</v>
      </c>
      <c r="AD123" s="122">
        <f t="shared" si="87"/>
        <v>0</v>
      </c>
      <c r="AE123" s="122">
        <f t="shared" si="87"/>
        <v>0</v>
      </c>
      <c r="AF123" s="122">
        <f t="shared" si="87"/>
        <v>0</v>
      </c>
      <c r="AG123" s="122">
        <f t="shared" si="87"/>
        <v>0</v>
      </c>
      <c r="AH123" s="122">
        <f t="shared" si="87"/>
        <v>0</v>
      </c>
      <c r="AI123" s="122">
        <f t="shared" si="87"/>
        <v>0</v>
      </c>
    </row>
    <row r="124" spans="1:36" s="5" customFormat="1" ht="18" customHeight="1" x14ac:dyDescent="0.25">
      <c r="A124" s="126"/>
      <c r="B124" s="126"/>
      <c r="C124" s="122"/>
      <c r="D124" s="137"/>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row>
    <row r="125" spans="1:36" s="21" customFormat="1" ht="18" customHeight="1" x14ac:dyDescent="0.25">
      <c r="A125" s="92" t="s">
        <v>60</v>
      </c>
      <c r="B125" s="93"/>
      <c r="C125" s="94"/>
      <c r="D125" s="94"/>
      <c r="E125" s="94"/>
      <c r="F125" s="94">
        <f>F112+F117+F123</f>
        <v>0</v>
      </c>
      <c r="G125" s="94">
        <f t="shared" ref="G125:AI125" si="88">G112+G117+G123</f>
        <v>0</v>
      </c>
      <c r="H125" s="94">
        <f t="shared" si="88"/>
        <v>0</v>
      </c>
      <c r="I125" s="94">
        <f t="shared" si="88"/>
        <v>0</v>
      </c>
      <c r="J125" s="94">
        <f t="shared" si="88"/>
        <v>0</v>
      </c>
      <c r="K125" s="94">
        <f t="shared" si="88"/>
        <v>0</v>
      </c>
      <c r="L125" s="94">
        <f t="shared" si="88"/>
        <v>0</v>
      </c>
      <c r="M125" s="94">
        <f t="shared" si="88"/>
        <v>0</v>
      </c>
      <c r="N125" s="94">
        <f t="shared" si="88"/>
        <v>0</v>
      </c>
      <c r="O125" s="94">
        <f t="shared" si="88"/>
        <v>0</v>
      </c>
      <c r="P125" s="94">
        <f t="shared" si="88"/>
        <v>0</v>
      </c>
      <c r="Q125" s="94">
        <f t="shared" si="88"/>
        <v>0</v>
      </c>
      <c r="R125" s="94">
        <f t="shared" si="88"/>
        <v>0</v>
      </c>
      <c r="S125" s="94">
        <f t="shared" si="88"/>
        <v>0</v>
      </c>
      <c r="T125" s="94">
        <f t="shared" si="88"/>
        <v>0</v>
      </c>
      <c r="U125" s="94">
        <f t="shared" si="88"/>
        <v>0</v>
      </c>
      <c r="V125" s="94">
        <f t="shared" si="88"/>
        <v>0</v>
      </c>
      <c r="W125" s="94">
        <f t="shared" si="88"/>
        <v>0</v>
      </c>
      <c r="X125" s="94">
        <f t="shared" si="88"/>
        <v>0</v>
      </c>
      <c r="Y125" s="94">
        <f t="shared" si="88"/>
        <v>0</v>
      </c>
      <c r="Z125" s="94">
        <f t="shared" si="88"/>
        <v>0</v>
      </c>
      <c r="AA125" s="94">
        <f t="shared" si="88"/>
        <v>0</v>
      </c>
      <c r="AB125" s="94">
        <f t="shared" si="88"/>
        <v>0</v>
      </c>
      <c r="AC125" s="94">
        <f t="shared" si="88"/>
        <v>0</v>
      </c>
      <c r="AD125" s="94">
        <f t="shared" si="88"/>
        <v>0</v>
      </c>
      <c r="AE125" s="94">
        <f t="shared" si="88"/>
        <v>0</v>
      </c>
      <c r="AF125" s="94">
        <f t="shared" si="88"/>
        <v>0</v>
      </c>
      <c r="AG125" s="94">
        <f t="shared" si="88"/>
        <v>0</v>
      </c>
      <c r="AH125" s="94">
        <f t="shared" si="88"/>
        <v>0</v>
      </c>
      <c r="AI125" s="94">
        <f t="shared" si="88"/>
        <v>0</v>
      </c>
    </row>
    <row r="126" spans="1:36" s="21" customFormat="1" ht="18" customHeight="1" x14ac:dyDescent="0.25">
      <c r="A126" s="121" t="s">
        <v>59</v>
      </c>
      <c r="B126" s="121"/>
      <c r="C126" s="129"/>
      <c r="D126" s="137"/>
      <c r="E126" s="129"/>
      <c r="F126" s="129">
        <f>E126+F125</f>
        <v>0</v>
      </c>
      <c r="G126" s="129">
        <f t="shared" ref="G126" si="89">F126+G125</f>
        <v>0</v>
      </c>
      <c r="H126" s="129">
        <f t="shared" ref="H126" si="90">G126+H125</f>
        <v>0</v>
      </c>
      <c r="I126" s="129">
        <f t="shared" ref="I126" si="91">H126+I125</f>
        <v>0</v>
      </c>
      <c r="J126" s="129">
        <f t="shared" ref="J126" si="92">I126+J125</f>
        <v>0</v>
      </c>
      <c r="K126" s="129">
        <f t="shared" ref="K126" si="93">J126+K125</f>
        <v>0</v>
      </c>
      <c r="L126" s="129">
        <f t="shared" ref="L126" si="94">K126+L125</f>
        <v>0</v>
      </c>
      <c r="M126" s="129">
        <f t="shared" ref="M126" si="95">L126+M125</f>
        <v>0</v>
      </c>
      <c r="N126" s="129">
        <f t="shared" ref="N126" si="96">M126+N125</f>
        <v>0</v>
      </c>
      <c r="O126" s="129">
        <f t="shared" ref="O126" si="97">N126+O125</f>
        <v>0</v>
      </c>
      <c r="P126" s="129">
        <f t="shared" ref="P126" si="98">O126+P125</f>
        <v>0</v>
      </c>
      <c r="Q126" s="129">
        <f t="shared" ref="Q126" si="99">P126+Q125</f>
        <v>0</v>
      </c>
      <c r="R126" s="129">
        <f t="shared" ref="R126" si="100">Q126+R125</f>
        <v>0</v>
      </c>
      <c r="S126" s="129">
        <f t="shared" ref="S126" si="101">R126+S125</f>
        <v>0</v>
      </c>
      <c r="T126" s="129">
        <f t="shared" ref="T126" si="102">S126+T125</f>
        <v>0</v>
      </c>
      <c r="U126" s="129">
        <f t="shared" ref="U126" si="103">T126+U125</f>
        <v>0</v>
      </c>
      <c r="V126" s="129">
        <f t="shared" ref="V126" si="104">U126+V125</f>
        <v>0</v>
      </c>
      <c r="W126" s="129">
        <f t="shared" ref="W126" si="105">V126+W125</f>
        <v>0</v>
      </c>
      <c r="X126" s="129">
        <f t="shared" ref="X126" si="106">W126+X125</f>
        <v>0</v>
      </c>
      <c r="Y126" s="129">
        <f t="shared" ref="Y126" si="107">X126+Y125</f>
        <v>0</v>
      </c>
      <c r="Z126" s="129">
        <f t="shared" ref="Z126" si="108">Y126+Z125</f>
        <v>0</v>
      </c>
      <c r="AA126" s="129">
        <f t="shared" ref="AA126" si="109">Z126+AA125</f>
        <v>0</v>
      </c>
      <c r="AB126" s="129">
        <f t="shared" ref="AB126" si="110">AA126+AB125</f>
        <v>0</v>
      </c>
      <c r="AC126" s="129">
        <f t="shared" ref="AC126" si="111">AB126+AC125</f>
        <v>0</v>
      </c>
      <c r="AD126" s="129">
        <f t="shared" ref="AD126" si="112">AC126+AD125</f>
        <v>0</v>
      </c>
      <c r="AE126" s="129">
        <f>AD126+AE125</f>
        <v>0</v>
      </c>
      <c r="AF126" s="129">
        <f t="shared" ref="AF126" si="113">AE126+AF125</f>
        <v>0</v>
      </c>
      <c r="AG126" s="129">
        <f t="shared" ref="AG126" si="114">AF126+AG125</f>
        <v>0</v>
      </c>
      <c r="AH126" s="129">
        <f t="shared" ref="AH126" si="115">AG126+AH125</f>
        <v>0</v>
      </c>
      <c r="AI126" s="129">
        <f t="shared" ref="AI126" si="116">AH126+AI125</f>
        <v>0</v>
      </c>
    </row>
    <row r="127" spans="1:36" s="5" customFormat="1" ht="19.5" customHeight="1" x14ac:dyDescent="0.25">
      <c r="A127" s="126"/>
      <c r="B127" s="126"/>
      <c r="C127" s="122"/>
      <c r="D127" s="137"/>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row>
    <row r="128" spans="1:36" s="5" customFormat="1" ht="21" customHeight="1" x14ac:dyDescent="0.4">
      <c r="A128" s="158" t="s">
        <v>134</v>
      </c>
      <c r="B128" s="130"/>
      <c r="C128" s="130"/>
      <c r="D128" s="137"/>
      <c r="E128" s="130"/>
      <c r="F128" s="130"/>
      <c r="G128" s="130"/>
      <c r="H128" s="130"/>
      <c r="I128" s="130"/>
      <c r="J128" s="130"/>
      <c r="K128" s="130"/>
      <c r="L128" s="130"/>
      <c r="M128" s="130"/>
      <c r="N128" s="130"/>
      <c r="O128" s="130"/>
      <c r="P128" s="131"/>
      <c r="Q128" s="131"/>
      <c r="R128" s="131"/>
      <c r="S128" s="131"/>
      <c r="T128" s="131"/>
      <c r="U128" s="131"/>
      <c r="V128" s="131"/>
      <c r="W128" s="131"/>
      <c r="X128" s="131"/>
      <c r="Y128" s="131"/>
      <c r="Z128" s="132"/>
      <c r="AA128" s="132"/>
      <c r="AB128" s="132"/>
      <c r="AC128" s="132"/>
      <c r="AD128" s="132"/>
      <c r="AE128" s="132"/>
      <c r="AF128" s="132"/>
      <c r="AG128" s="132"/>
      <c r="AH128" s="132"/>
      <c r="AI128" s="132"/>
    </row>
    <row r="129" spans="1:35" s="5" customFormat="1" ht="15.75" x14ac:dyDescent="0.25">
      <c r="A129" s="132"/>
      <c r="B129" s="132"/>
      <c r="C129" s="133"/>
      <c r="D129" s="137"/>
      <c r="E129" s="133"/>
      <c r="F129" s="134" t="s">
        <v>3</v>
      </c>
      <c r="G129" s="134" t="s">
        <v>3</v>
      </c>
      <c r="H129" s="134" t="s">
        <v>3</v>
      </c>
      <c r="I129" s="134" t="s">
        <v>3</v>
      </c>
      <c r="J129" s="134" t="s">
        <v>3</v>
      </c>
      <c r="K129" s="134" t="s">
        <v>3</v>
      </c>
      <c r="L129" s="134" t="s">
        <v>3</v>
      </c>
      <c r="M129" s="134" t="s">
        <v>3</v>
      </c>
      <c r="N129" s="134" t="s">
        <v>3</v>
      </c>
      <c r="O129" s="134" t="s">
        <v>3</v>
      </c>
      <c r="P129" s="134" t="s">
        <v>3</v>
      </c>
      <c r="Q129" s="134" t="s">
        <v>3</v>
      </c>
      <c r="R129" s="134" t="s">
        <v>3</v>
      </c>
      <c r="S129" s="134" t="s">
        <v>3</v>
      </c>
      <c r="T129" s="134" t="s">
        <v>3</v>
      </c>
      <c r="U129" s="134" t="s">
        <v>3</v>
      </c>
      <c r="V129" s="134" t="s">
        <v>3</v>
      </c>
      <c r="W129" s="134" t="s">
        <v>3</v>
      </c>
      <c r="X129" s="134" t="s">
        <v>3</v>
      </c>
      <c r="Y129" s="134" t="s">
        <v>3</v>
      </c>
      <c r="Z129" s="134" t="s">
        <v>3</v>
      </c>
      <c r="AA129" s="134" t="s">
        <v>3</v>
      </c>
      <c r="AB129" s="134" t="s">
        <v>3</v>
      </c>
      <c r="AC129" s="134" t="s">
        <v>3</v>
      </c>
      <c r="AD129" s="134" t="s">
        <v>3</v>
      </c>
      <c r="AE129" s="134" t="s">
        <v>3</v>
      </c>
      <c r="AF129" s="134" t="s">
        <v>3</v>
      </c>
      <c r="AG129" s="134" t="s">
        <v>3</v>
      </c>
      <c r="AH129" s="134" t="s">
        <v>3</v>
      </c>
      <c r="AI129" s="134" t="s">
        <v>3</v>
      </c>
    </row>
    <row r="130" spans="1:35" s="5" customFormat="1" ht="15.75" x14ac:dyDescent="0.25">
      <c r="A130" s="135"/>
      <c r="B130" s="135"/>
      <c r="C130" s="133"/>
      <c r="D130" s="137"/>
      <c r="E130" s="133"/>
      <c r="F130" s="136">
        <v>1</v>
      </c>
      <c r="G130" s="136">
        <v>2</v>
      </c>
      <c r="H130" s="136">
        <v>3</v>
      </c>
      <c r="I130" s="136">
        <v>4</v>
      </c>
      <c r="J130" s="136">
        <v>5</v>
      </c>
      <c r="K130" s="136">
        <v>6</v>
      </c>
      <c r="L130" s="136">
        <v>7</v>
      </c>
      <c r="M130" s="136">
        <v>8</v>
      </c>
      <c r="N130" s="136">
        <v>9</v>
      </c>
      <c r="O130" s="136">
        <v>10</v>
      </c>
      <c r="P130" s="136">
        <v>11</v>
      </c>
      <c r="Q130" s="136">
        <v>12</v>
      </c>
      <c r="R130" s="136">
        <v>13</v>
      </c>
      <c r="S130" s="136">
        <v>14</v>
      </c>
      <c r="T130" s="136">
        <v>15</v>
      </c>
      <c r="U130" s="136">
        <v>16</v>
      </c>
      <c r="V130" s="136">
        <v>17</v>
      </c>
      <c r="W130" s="136">
        <v>18</v>
      </c>
      <c r="X130" s="136">
        <v>19</v>
      </c>
      <c r="Y130" s="136">
        <v>20</v>
      </c>
      <c r="Z130" s="136">
        <v>21</v>
      </c>
      <c r="AA130" s="136">
        <v>22</v>
      </c>
      <c r="AB130" s="136">
        <v>23</v>
      </c>
      <c r="AC130" s="136">
        <v>24</v>
      </c>
      <c r="AD130" s="136">
        <v>25</v>
      </c>
      <c r="AE130" s="136">
        <v>26</v>
      </c>
      <c r="AF130" s="136">
        <v>27</v>
      </c>
      <c r="AG130" s="136">
        <v>28</v>
      </c>
      <c r="AH130" s="136">
        <v>29</v>
      </c>
      <c r="AI130" s="136">
        <v>30</v>
      </c>
    </row>
    <row r="131" spans="1:35" s="5" customFormat="1" ht="15.75" x14ac:dyDescent="0.25">
      <c r="A131" s="132" t="s">
        <v>41</v>
      </c>
      <c r="B131" s="132"/>
      <c r="C131" s="133"/>
      <c r="D131" s="137"/>
      <c r="E131" s="133"/>
      <c r="F131" s="133">
        <f t="shared" ref="F131:AI131" si="117">IF(F$44=$B$16,F$121,+E135)</f>
        <v>0</v>
      </c>
      <c r="G131" s="133">
        <f t="shared" si="117"/>
        <v>0</v>
      </c>
      <c r="H131" s="133">
        <f t="shared" si="117"/>
        <v>0</v>
      </c>
      <c r="I131" s="133">
        <f t="shared" si="117"/>
        <v>0</v>
      </c>
      <c r="J131" s="133">
        <f t="shared" si="117"/>
        <v>0</v>
      </c>
      <c r="K131" s="133">
        <f t="shared" si="117"/>
        <v>0</v>
      </c>
      <c r="L131" s="133">
        <f t="shared" si="117"/>
        <v>0</v>
      </c>
      <c r="M131" s="133">
        <f t="shared" si="117"/>
        <v>0</v>
      </c>
      <c r="N131" s="133">
        <f t="shared" si="117"/>
        <v>0</v>
      </c>
      <c r="O131" s="133">
        <f t="shared" si="117"/>
        <v>0</v>
      </c>
      <c r="P131" s="133">
        <f t="shared" si="117"/>
        <v>0</v>
      </c>
      <c r="Q131" s="133">
        <f t="shared" si="117"/>
        <v>0</v>
      </c>
      <c r="R131" s="133">
        <f t="shared" si="117"/>
        <v>0</v>
      </c>
      <c r="S131" s="133">
        <f t="shared" si="117"/>
        <v>0</v>
      </c>
      <c r="T131" s="133">
        <f t="shared" si="117"/>
        <v>0</v>
      </c>
      <c r="U131" s="133">
        <f t="shared" si="117"/>
        <v>0</v>
      </c>
      <c r="V131" s="133">
        <f t="shared" si="117"/>
        <v>0</v>
      </c>
      <c r="W131" s="133">
        <f t="shared" si="117"/>
        <v>0</v>
      </c>
      <c r="X131" s="133">
        <f t="shared" si="117"/>
        <v>0</v>
      </c>
      <c r="Y131" s="133">
        <f t="shared" si="117"/>
        <v>0</v>
      </c>
      <c r="Z131" s="133">
        <f t="shared" si="117"/>
        <v>0</v>
      </c>
      <c r="AA131" s="133">
        <f t="shared" si="117"/>
        <v>0</v>
      </c>
      <c r="AB131" s="133">
        <f t="shared" si="117"/>
        <v>0</v>
      </c>
      <c r="AC131" s="133">
        <f t="shared" si="117"/>
        <v>0</v>
      </c>
      <c r="AD131" s="133">
        <f t="shared" si="117"/>
        <v>0</v>
      </c>
      <c r="AE131" s="133">
        <f t="shared" si="117"/>
        <v>0</v>
      </c>
      <c r="AF131" s="133">
        <f t="shared" si="117"/>
        <v>0</v>
      </c>
      <c r="AG131" s="133">
        <f t="shared" si="117"/>
        <v>0</v>
      </c>
      <c r="AH131" s="133">
        <f t="shared" si="117"/>
        <v>0</v>
      </c>
      <c r="AI131" s="133">
        <f t="shared" si="117"/>
        <v>0</v>
      </c>
    </row>
    <row r="132" spans="1:35" s="5" customFormat="1" ht="15.75" x14ac:dyDescent="0.25">
      <c r="A132" s="132" t="s">
        <v>42</v>
      </c>
      <c r="B132" s="132"/>
      <c r="C132" s="133"/>
      <c r="D132" s="137"/>
      <c r="E132" s="133"/>
      <c r="F132" s="133">
        <f t="shared" ref="F132:AI132" si="118">IF(AND(F$44&gt;$B$16, F$44&lt;=$B$16+$I$28),PMT($I$27,$I$28,$I$30),0)</f>
        <v>0</v>
      </c>
      <c r="G132" s="133">
        <f t="shared" si="118"/>
        <v>0</v>
      </c>
      <c r="H132" s="133">
        <f t="shared" si="118"/>
        <v>0</v>
      </c>
      <c r="I132" s="133">
        <f t="shared" si="118"/>
        <v>0</v>
      </c>
      <c r="J132" s="133">
        <f t="shared" si="118"/>
        <v>0</v>
      </c>
      <c r="K132" s="133">
        <f t="shared" si="118"/>
        <v>0</v>
      </c>
      <c r="L132" s="133">
        <f t="shared" si="118"/>
        <v>0</v>
      </c>
      <c r="M132" s="133">
        <f t="shared" si="118"/>
        <v>0</v>
      </c>
      <c r="N132" s="133">
        <f t="shared" si="118"/>
        <v>0</v>
      </c>
      <c r="O132" s="133">
        <f t="shared" si="118"/>
        <v>0</v>
      </c>
      <c r="P132" s="133">
        <f t="shared" si="118"/>
        <v>0</v>
      </c>
      <c r="Q132" s="133">
        <f t="shared" si="118"/>
        <v>0</v>
      </c>
      <c r="R132" s="133">
        <f t="shared" si="118"/>
        <v>0</v>
      </c>
      <c r="S132" s="133">
        <f t="shared" si="118"/>
        <v>0</v>
      </c>
      <c r="T132" s="133">
        <f t="shared" si="118"/>
        <v>0</v>
      </c>
      <c r="U132" s="133">
        <f t="shared" si="118"/>
        <v>0</v>
      </c>
      <c r="V132" s="133">
        <f t="shared" si="118"/>
        <v>0</v>
      </c>
      <c r="W132" s="133">
        <f t="shared" si="118"/>
        <v>0</v>
      </c>
      <c r="X132" s="133">
        <f t="shared" si="118"/>
        <v>0</v>
      </c>
      <c r="Y132" s="133">
        <f t="shared" si="118"/>
        <v>0</v>
      </c>
      <c r="Z132" s="133">
        <f t="shared" si="118"/>
        <v>0</v>
      </c>
      <c r="AA132" s="133">
        <f t="shared" si="118"/>
        <v>0</v>
      </c>
      <c r="AB132" s="133">
        <f t="shared" si="118"/>
        <v>0</v>
      </c>
      <c r="AC132" s="133">
        <f t="shared" si="118"/>
        <v>0</v>
      </c>
      <c r="AD132" s="133">
        <f t="shared" si="118"/>
        <v>0</v>
      </c>
      <c r="AE132" s="133">
        <f t="shared" si="118"/>
        <v>0</v>
      </c>
      <c r="AF132" s="133">
        <f t="shared" si="118"/>
        <v>0</v>
      </c>
      <c r="AG132" s="133">
        <f t="shared" si="118"/>
        <v>0</v>
      </c>
      <c r="AH132" s="133">
        <f t="shared" si="118"/>
        <v>0</v>
      </c>
      <c r="AI132" s="133">
        <f t="shared" si="118"/>
        <v>0</v>
      </c>
    </row>
    <row r="133" spans="1:35" s="5" customFormat="1" ht="15.75" x14ac:dyDescent="0.25">
      <c r="A133" s="132" t="s">
        <v>43</v>
      </c>
      <c r="B133" s="132"/>
      <c r="C133" s="133"/>
      <c r="D133" s="137"/>
      <c r="E133" s="133"/>
      <c r="F133" s="133">
        <f>F132-F134</f>
        <v>0</v>
      </c>
      <c r="G133" s="133">
        <f t="shared" ref="G133:AI133" si="119">G132-G134</f>
        <v>0</v>
      </c>
      <c r="H133" s="133">
        <f t="shared" si="119"/>
        <v>0</v>
      </c>
      <c r="I133" s="133">
        <f t="shared" si="119"/>
        <v>0</v>
      </c>
      <c r="J133" s="133">
        <f t="shared" si="119"/>
        <v>0</v>
      </c>
      <c r="K133" s="133">
        <f t="shared" si="119"/>
        <v>0</v>
      </c>
      <c r="L133" s="133">
        <f t="shared" si="119"/>
        <v>0</v>
      </c>
      <c r="M133" s="133">
        <f t="shared" si="119"/>
        <v>0</v>
      </c>
      <c r="N133" s="133">
        <f t="shared" si="119"/>
        <v>0</v>
      </c>
      <c r="O133" s="133">
        <f t="shared" si="119"/>
        <v>0</v>
      </c>
      <c r="P133" s="133">
        <f t="shared" si="119"/>
        <v>0</v>
      </c>
      <c r="Q133" s="133">
        <f t="shared" si="119"/>
        <v>0</v>
      </c>
      <c r="R133" s="133">
        <f t="shared" si="119"/>
        <v>0</v>
      </c>
      <c r="S133" s="133">
        <f t="shared" si="119"/>
        <v>0</v>
      </c>
      <c r="T133" s="133">
        <f t="shared" si="119"/>
        <v>0</v>
      </c>
      <c r="U133" s="133">
        <f t="shared" si="119"/>
        <v>0</v>
      </c>
      <c r="V133" s="133">
        <f t="shared" si="119"/>
        <v>0</v>
      </c>
      <c r="W133" s="133">
        <f t="shared" si="119"/>
        <v>0</v>
      </c>
      <c r="X133" s="133">
        <f t="shared" si="119"/>
        <v>0</v>
      </c>
      <c r="Y133" s="133">
        <f t="shared" si="119"/>
        <v>0</v>
      </c>
      <c r="Z133" s="133">
        <f t="shared" si="119"/>
        <v>0</v>
      </c>
      <c r="AA133" s="133">
        <f t="shared" si="119"/>
        <v>0</v>
      </c>
      <c r="AB133" s="133">
        <f t="shared" si="119"/>
        <v>0</v>
      </c>
      <c r="AC133" s="133">
        <f t="shared" si="119"/>
        <v>0</v>
      </c>
      <c r="AD133" s="133">
        <f t="shared" si="119"/>
        <v>0</v>
      </c>
      <c r="AE133" s="133">
        <f t="shared" si="119"/>
        <v>0</v>
      </c>
      <c r="AF133" s="133">
        <f t="shared" si="119"/>
        <v>0</v>
      </c>
      <c r="AG133" s="133">
        <f t="shared" si="119"/>
        <v>0</v>
      </c>
      <c r="AH133" s="133">
        <f t="shared" si="119"/>
        <v>0</v>
      </c>
      <c r="AI133" s="133">
        <f t="shared" si="119"/>
        <v>0</v>
      </c>
    </row>
    <row r="134" spans="1:35" s="5" customFormat="1" ht="15.75" x14ac:dyDescent="0.25">
      <c r="A134" s="132" t="s">
        <v>44</v>
      </c>
      <c r="B134" s="132"/>
      <c r="C134" s="133"/>
      <c r="D134" s="137"/>
      <c r="E134" s="133"/>
      <c r="F134" s="133">
        <f t="shared" ref="F134:AI134" si="120">IF(AND(F$44&gt;$B$16, F$44&lt;=$B$16+$I$28),-F$131*$I$27,0)</f>
        <v>0</v>
      </c>
      <c r="G134" s="133">
        <f t="shared" si="120"/>
        <v>0</v>
      </c>
      <c r="H134" s="133">
        <f t="shared" si="120"/>
        <v>0</v>
      </c>
      <c r="I134" s="133">
        <f t="shared" si="120"/>
        <v>0</v>
      </c>
      <c r="J134" s="133">
        <f t="shared" si="120"/>
        <v>0</v>
      </c>
      <c r="K134" s="133">
        <f t="shared" si="120"/>
        <v>0</v>
      </c>
      <c r="L134" s="133">
        <f t="shared" si="120"/>
        <v>0</v>
      </c>
      <c r="M134" s="133">
        <f t="shared" si="120"/>
        <v>0</v>
      </c>
      <c r="N134" s="133">
        <f t="shared" si="120"/>
        <v>0</v>
      </c>
      <c r="O134" s="133">
        <f t="shared" si="120"/>
        <v>0</v>
      </c>
      <c r="P134" s="133">
        <f t="shared" si="120"/>
        <v>0</v>
      </c>
      <c r="Q134" s="133">
        <f t="shared" si="120"/>
        <v>0</v>
      </c>
      <c r="R134" s="133">
        <f t="shared" si="120"/>
        <v>0</v>
      </c>
      <c r="S134" s="133">
        <f t="shared" si="120"/>
        <v>0</v>
      </c>
      <c r="T134" s="133">
        <f t="shared" si="120"/>
        <v>0</v>
      </c>
      <c r="U134" s="133">
        <f t="shared" si="120"/>
        <v>0</v>
      </c>
      <c r="V134" s="133">
        <f t="shared" si="120"/>
        <v>0</v>
      </c>
      <c r="W134" s="133">
        <f t="shared" si="120"/>
        <v>0</v>
      </c>
      <c r="X134" s="133">
        <f t="shared" si="120"/>
        <v>0</v>
      </c>
      <c r="Y134" s="133">
        <f t="shared" si="120"/>
        <v>0</v>
      </c>
      <c r="Z134" s="133">
        <f t="shared" si="120"/>
        <v>0</v>
      </c>
      <c r="AA134" s="133">
        <f t="shared" si="120"/>
        <v>0</v>
      </c>
      <c r="AB134" s="133">
        <f t="shared" si="120"/>
        <v>0</v>
      </c>
      <c r="AC134" s="133">
        <f t="shared" si="120"/>
        <v>0</v>
      </c>
      <c r="AD134" s="133">
        <f t="shared" si="120"/>
        <v>0</v>
      </c>
      <c r="AE134" s="133">
        <f t="shared" si="120"/>
        <v>0</v>
      </c>
      <c r="AF134" s="133">
        <f t="shared" si="120"/>
        <v>0</v>
      </c>
      <c r="AG134" s="133">
        <f t="shared" si="120"/>
        <v>0</v>
      </c>
      <c r="AH134" s="133">
        <f t="shared" si="120"/>
        <v>0</v>
      </c>
      <c r="AI134" s="133">
        <f t="shared" si="120"/>
        <v>0</v>
      </c>
    </row>
    <row r="135" spans="1:35" s="21" customFormat="1" ht="15.75" x14ac:dyDescent="0.25">
      <c r="A135" s="135" t="s">
        <v>45</v>
      </c>
      <c r="B135" s="135"/>
      <c r="C135" s="137"/>
      <c r="D135" s="137"/>
      <c r="E135" s="137"/>
      <c r="F135" s="137">
        <f>F131+F133</f>
        <v>0</v>
      </c>
      <c r="G135" s="137">
        <f t="shared" ref="G135:AI135" si="121">G131+G133</f>
        <v>0</v>
      </c>
      <c r="H135" s="137">
        <f t="shared" si="121"/>
        <v>0</v>
      </c>
      <c r="I135" s="137">
        <f t="shared" si="121"/>
        <v>0</v>
      </c>
      <c r="J135" s="137">
        <f t="shared" si="121"/>
        <v>0</v>
      </c>
      <c r="K135" s="137">
        <f t="shared" si="121"/>
        <v>0</v>
      </c>
      <c r="L135" s="137">
        <f t="shared" si="121"/>
        <v>0</v>
      </c>
      <c r="M135" s="137">
        <f>M131+M133</f>
        <v>0</v>
      </c>
      <c r="N135" s="137">
        <f t="shared" si="121"/>
        <v>0</v>
      </c>
      <c r="O135" s="137">
        <f t="shared" si="121"/>
        <v>0</v>
      </c>
      <c r="P135" s="137">
        <f t="shared" si="121"/>
        <v>0</v>
      </c>
      <c r="Q135" s="137">
        <f t="shared" si="121"/>
        <v>0</v>
      </c>
      <c r="R135" s="137">
        <f t="shared" si="121"/>
        <v>0</v>
      </c>
      <c r="S135" s="137">
        <f t="shared" si="121"/>
        <v>0</v>
      </c>
      <c r="T135" s="137">
        <f t="shared" si="121"/>
        <v>0</v>
      </c>
      <c r="U135" s="137">
        <f t="shared" si="121"/>
        <v>0</v>
      </c>
      <c r="V135" s="137">
        <f t="shared" si="121"/>
        <v>0</v>
      </c>
      <c r="W135" s="137">
        <f t="shared" si="121"/>
        <v>0</v>
      </c>
      <c r="X135" s="137">
        <f t="shared" si="121"/>
        <v>0</v>
      </c>
      <c r="Y135" s="137">
        <f t="shared" si="121"/>
        <v>0</v>
      </c>
      <c r="Z135" s="137">
        <f t="shared" si="121"/>
        <v>0</v>
      </c>
      <c r="AA135" s="137">
        <f t="shared" si="121"/>
        <v>0</v>
      </c>
      <c r="AB135" s="137">
        <f t="shared" si="121"/>
        <v>0</v>
      </c>
      <c r="AC135" s="137">
        <f t="shared" si="121"/>
        <v>0</v>
      </c>
      <c r="AD135" s="137">
        <f t="shared" si="121"/>
        <v>0</v>
      </c>
      <c r="AE135" s="137">
        <f t="shared" si="121"/>
        <v>0</v>
      </c>
      <c r="AF135" s="137">
        <f t="shared" si="121"/>
        <v>0</v>
      </c>
      <c r="AG135" s="137">
        <f t="shared" si="121"/>
        <v>0</v>
      </c>
      <c r="AH135" s="137">
        <f t="shared" si="121"/>
        <v>0</v>
      </c>
      <c r="AI135" s="137">
        <f t="shared" si="121"/>
        <v>0</v>
      </c>
    </row>
    <row r="136" spans="1:35" s="5" customFormat="1" x14ac:dyDescent="0.2">
      <c r="C136" s="22"/>
      <c r="U136" s="27"/>
    </row>
    <row r="137" spans="1:35" x14ac:dyDescent="0.2">
      <c r="T137" s="2"/>
      <c r="U137" s="26"/>
    </row>
    <row r="138" spans="1:35" ht="26.25" x14ac:dyDescent="0.4">
      <c r="A138" s="111" t="s">
        <v>135</v>
      </c>
      <c r="B138" s="10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10"/>
      <c r="AA138" s="110"/>
      <c r="AB138" s="110"/>
      <c r="AC138" s="110"/>
      <c r="AD138" s="110"/>
      <c r="AE138" s="110"/>
      <c r="AF138" s="110"/>
      <c r="AG138" s="110"/>
      <c r="AH138" s="110"/>
      <c r="AI138" s="110"/>
    </row>
    <row r="139" spans="1:35" ht="15.75" x14ac:dyDescent="0.25">
      <c r="A139" s="72"/>
      <c r="E139" s="4" t="s">
        <v>3</v>
      </c>
      <c r="F139" s="4" t="s">
        <v>3</v>
      </c>
      <c r="G139" s="4" t="s">
        <v>3</v>
      </c>
      <c r="H139" s="4" t="s">
        <v>3</v>
      </c>
      <c r="I139" s="4" t="s">
        <v>3</v>
      </c>
      <c r="J139" s="4" t="s">
        <v>3</v>
      </c>
      <c r="K139" s="4" t="s">
        <v>3</v>
      </c>
      <c r="L139" s="4" t="s">
        <v>3</v>
      </c>
      <c r="M139" s="4" t="s">
        <v>3</v>
      </c>
      <c r="N139" s="4" t="s">
        <v>3</v>
      </c>
      <c r="O139" s="4" t="s">
        <v>3</v>
      </c>
      <c r="P139" s="4" t="s">
        <v>3</v>
      </c>
      <c r="Q139" s="4" t="s">
        <v>3</v>
      </c>
      <c r="R139" s="4" t="s">
        <v>3</v>
      </c>
      <c r="S139" s="4" t="s">
        <v>3</v>
      </c>
      <c r="T139" s="4" t="s">
        <v>3</v>
      </c>
      <c r="U139" s="4" t="s">
        <v>3</v>
      </c>
      <c r="V139" s="4" t="s">
        <v>3</v>
      </c>
      <c r="W139" s="4" t="s">
        <v>3</v>
      </c>
      <c r="X139" s="4" t="s">
        <v>3</v>
      </c>
      <c r="Y139" s="4" t="s">
        <v>3</v>
      </c>
      <c r="Z139" s="4" t="s">
        <v>3</v>
      </c>
      <c r="AA139" s="4" t="s">
        <v>3</v>
      </c>
      <c r="AB139" s="4" t="s">
        <v>3</v>
      </c>
      <c r="AC139" s="4" t="s">
        <v>3</v>
      </c>
      <c r="AD139" s="4" t="s">
        <v>3</v>
      </c>
      <c r="AE139" s="4" t="s">
        <v>3</v>
      </c>
      <c r="AF139" s="4" t="s">
        <v>3</v>
      </c>
      <c r="AG139" s="4" t="s">
        <v>3</v>
      </c>
      <c r="AH139" s="4" t="s">
        <v>3</v>
      </c>
      <c r="AI139" s="4" t="s">
        <v>3</v>
      </c>
    </row>
    <row r="140" spans="1:35" ht="15.75" x14ac:dyDescent="0.25">
      <c r="A140" s="71"/>
      <c r="B140" s="71"/>
      <c r="E140" s="4">
        <v>0</v>
      </c>
      <c r="F140" s="4">
        <v>1</v>
      </c>
      <c r="G140" s="4">
        <v>2</v>
      </c>
      <c r="H140" s="4">
        <v>3</v>
      </c>
      <c r="I140" s="4">
        <v>4</v>
      </c>
      <c r="J140" s="4">
        <v>5</v>
      </c>
      <c r="K140" s="4">
        <v>6</v>
      </c>
      <c r="L140" s="4">
        <v>7</v>
      </c>
      <c r="M140" s="4">
        <v>8</v>
      </c>
      <c r="N140" s="4">
        <v>9</v>
      </c>
      <c r="O140" s="4">
        <v>10</v>
      </c>
      <c r="P140" s="4">
        <v>11</v>
      </c>
      <c r="Q140" s="4">
        <v>12</v>
      </c>
      <c r="R140" s="4">
        <v>13</v>
      </c>
      <c r="S140" s="4">
        <v>14</v>
      </c>
      <c r="T140" s="4">
        <v>15</v>
      </c>
      <c r="U140" s="4">
        <v>16</v>
      </c>
      <c r="V140" s="4">
        <v>17</v>
      </c>
      <c r="W140" s="4">
        <v>18</v>
      </c>
      <c r="X140" s="4">
        <v>19</v>
      </c>
      <c r="Y140" s="4">
        <v>20</v>
      </c>
      <c r="Z140" s="4">
        <v>21</v>
      </c>
      <c r="AA140" s="4">
        <v>22</v>
      </c>
      <c r="AB140" s="4">
        <v>23</v>
      </c>
      <c r="AC140" s="4">
        <v>24</v>
      </c>
      <c r="AD140" s="4">
        <v>25</v>
      </c>
      <c r="AE140" s="4">
        <v>26</v>
      </c>
      <c r="AF140" s="4">
        <v>27</v>
      </c>
      <c r="AG140" s="4">
        <v>28</v>
      </c>
      <c r="AH140" s="4">
        <v>29</v>
      </c>
      <c r="AI140" s="4">
        <v>30</v>
      </c>
    </row>
    <row r="141" spans="1:35" ht="18" x14ac:dyDescent="0.25">
      <c r="A141" s="169" t="s">
        <v>165</v>
      </c>
      <c r="C141" s="184" t="s">
        <v>200</v>
      </c>
      <c r="T141" s="2"/>
      <c r="U141" s="26"/>
    </row>
    <row r="142" spans="1:35" x14ac:dyDescent="0.2">
      <c r="A142" s="170" t="s">
        <v>171</v>
      </c>
      <c r="B142" s="113">
        <f>'User Inputs'!D39</f>
        <v>0.06</v>
      </c>
      <c r="C142" s="182">
        <f>E142+NPV(B142,F142:AI142)</f>
        <v>417956.98282468319</v>
      </c>
      <c r="E142" s="40">
        <f t="shared" ref="E142:AI142" si="122">IF($B$14="Outside Economy",E$79,0)</f>
        <v>-621600</v>
      </c>
      <c r="F142" s="40">
        <f t="shared" si="122"/>
        <v>127231.74632806642</v>
      </c>
      <c r="G142" s="40">
        <f t="shared" si="122"/>
        <v>171397.77219949564</v>
      </c>
      <c r="H142" s="40">
        <f t="shared" si="122"/>
        <v>120371.11124940508</v>
      </c>
      <c r="I142" s="40">
        <f t="shared" si="122"/>
        <v>88943.286830167606</v>
      </c>
      <c r="J142" s="40">
        <f t="shared" si="122"/>
        <v>86933.5651009516</v>
      </c>
      <c r="K142" s="40">
        <f t="shared" si="122"/>
        <v>62773.858436850416</v>
      </c>
      <c r="L142" s="40">
        <f t="shared" si="122"/>
        <v>38560.556325499128</v>
      </c>
      <c r="M142" s="40">
        <f t="shared" si="122"/>
        <v>36389.875720495482</v>
      </c>
      <c r="N142" s="40">
        <f t="shared" si="122"/>
        <v>34159.066819103668</v>
      </c>
      <c r="O142" s="40">
        <f t="shared" si="122"/>
        <v>-19011.421770231027</v>
      </c>
      <c r="P142" s="40">
        <f t="shared" si="122"/>
        <v>29502.653492905665</v>
      </c>
      <c r="Q142" s="40">
        <f t="shared" si="122"/>
        <v>27069.318916229066</v>
      </c>
      <c r="R142" s="40">
        <f t="shared" si="122"/>
        <v>24560.370683581612</v>
      </c>
      <c r="S142" s="40">
        <f t="shared" si="122"/>
        <v>21971.361193741468</v>
      </c>
      <c r="T142" s="40">
        <f t="shared" si="122"/>
        <v>19297.584583092539</v>
      </c>
      <c r="U142" s="40">
        <f t="shared" si="122"/>
        <v>112536.54249520443</v>
      </c>
      <c r="V142" s="40">
        <f t="shared" si="122"/>
        <v>111251.67604429054</v>
      </c>
      <c r="W142" s="40">
        <f t="shared" si="122"/>
        <v>109960.63760491302</v>
      </c>
      <c r="X142" s="40">
        <f t="shared" si="122"/>
        <v>108663.19061563519</v>
      </c>
      <c r="Y142" s="40">
        <f t="shared" si="122"/>
        <v>56483.09371984376</v>
      </c>
      <c r="Z142" s="40">
        <f t="shared" si="122"/>
        <v>142733.75303263211</v>
      </c>
      <c r="AA142" s="40">
        <f t="shared" si="122"/>
        <v>144629.84528261572</v>
      </c>
      <c r="AB142" s="40">
        <f t="shared" si="122"/>
        <v>146553.08760779581</v>
      </c>
      <c r="AC142" s="40">
        <f t="shared" si="122"/>
        <v>148503.79983859742</v>
      </c>
      <c r="AD142" s="40">
        <f t="shared" si="122"/>
        <v>150482.30473909265</v>
      </c>
      <c r="AE142" s="40">
        <f t="shared" si="122"/>
        <v>0</v>
      </c>
      <c r="AF142" s="40">
        <f t="shared" si="122"/>
        <v>0</v>
      </c>
      <c r="AG142" s="40">
        <f t="shared" si="122"/>
        <v>0</v>
      </c>
      <c r="AH142" s="40">
        <f t="shared" si="122"/>
        <v>0</v>
      </c>
      <c r="AI142" s="40">
        <f t="shared" si="122"/>
        <v>0</v>
      </c>
    </row>
    <row r="143" spans="1:35" x14ac:dyDescent="0.2">
      <c r="A143" s="170" t="s">
        <v>168</v>
      </c>
      <c r="B143" s="113">
        <f>'User Inputs'!D40</f>
        <v>0.06</v>
      </c>
      <c r="C143" s="182">
        <f>E143+NPV(B143,F143:AI143)</f>
        <v>205456.07124983205</v>
      </c>
      <c r="E143" s="40">
        <f t="shared" ref="E143:AI143" si="123">-(E$53+E$97)*(1-$B$37)</f>
        <v>0</v>
      </c>
      <c r="F143" s="40">
        <f t="shared" si="123"/>
        <v>13980.960000000001</v>
      </c>
      <c r="G143" s="40">
        <f t="shared" si="123"/>
        <v>14189.276304000003</v>
      </c>
      <c r="H143" s="40">
        <f t="shared" si="123"/>
        <v>14400.696520929603</v>
      </c>
      <c r="I143" s="40">
        <f t="shared" si="123"/>
        <v>14615.266899091454</v>
      </c>
      <c r="J143" s="40">
        <f t="shared" si="123"/>
        <v>14833.034375887917</v>
      </c>
      <c r="K143" s="40">
        <f t="shared" si="123"/>
        <v>15054.046588088648</v>
      </c>
      <c r="L143" s="40">
        <f t="shared" si="123"/>
        <v>15278.351882251169</v>
      </c>
      <c r="M143" s="40">
        <f t="shared" si="123"/>
        <v>15505.999325296705</v>
      </c>
      <c r="N143" s="40">
        <f t="shared" si="123"/>
        <v>15737.038715243631</v>
      </c>
      <c r="O143" s="40">
        <f t="shared" si="123"/>
        <v>15971.520592100758</v>
      </c>
      <c r="P143" s="40">
        <f t="shared" si="123"/>
        <v>16209.49624892306</v>
      </c>
      <c r="Q143" s="40">
        <f t="shared" si="123"/>
        <v>16451.017743032015</v>
      </c>
      <c r="R143" s="40">
        <f t="shared" si="123"/>
        <v>16696.137907403194</v>
      </c>
      <c r="S143" s="40">
        <f t="shared" si="123"/>
        <v>16944.910362223494</v>
      </c>
      <c r="T143" s="40">
        <f t="shared" si="123"/>
        <v>17197.389526620635</v>
      </c>
      <c r="U143" s="40">
        <f t="shared" si="123"/>
        <v>17453.630630567273</v>
      </c>
      <c r="V143" s="40">
        <f t="shared" si="123"/>
        <v>17713.68972696273</v>
      </c>
      <c r="W143" s="40">
        <f t="shared" si="123"/>
        <v>17977.623703894475</v>
      </c>
      <c r="X143" s="40">
        <f t="shared" si="123"/>
        <v>18245.490297082499</v>
      </c>
      <c r="Y143" s="40">
        <f t="shared" si="123"/>
        <v>18517.348102509026</v>
      </c>
      <c r="Z143" s="40">
        <f t="shared" si="123"/>
        <v>18793.256589236411</v>
      </c>
      <c r="AA143" s="40">
        <f t="shared" si="123"/>
        <v>19073.276112416032</v>
      </c>
      <c r="AB143" s="40">
        <f t="shared" si="123"/>
        <v>19357.467926491034</v>
      </c>
      <c r="AC143" s="40">
        <f t="shared" si="123"/>
        <v>19645.894198595746</v>
      </c>
      <c r="AD143" s="40">
        <f t="shared" si="123"/>
        <v>19938.61802215482</v>
      </c>
      <c r="AE143" s="40">
        <f t="shared" si="123"/>
        <v>0</v>
      </c>
      <c r="AF143" s="40">
        <f t="shared" si="123"/>
        <v>0</v>
      </c>
      <c r="AG143" s="40">
        <f t="shared" si="123"/>
        <v>0</v>
      </c>
      <c r="AH143" s="40">
        <f t="shared" si="123"/>
        <v>0</v>
      </c>
      <c r="AI143" s="40">
        <f t="shared" si="123"/>
        <v>0</v>
      </c>
    </row>
    <row r="144" spans="1:35" x14ac:dyDescent="0.2">
      <c r="A144" s="170" t="s">
        <v>167</v>
      </c>
      <c r="B144" s="113">
        <f>'User Inputs'!D41</f>
        <v>0.06</v>
      </c>
      <c r="C144" s="182">
        <f>E144+NPV(B144,F144:AI144)</f>
        <v>365534.70124622306</v>
      </c>
      <c r="E144" s="40">
        <f t="shared" ref="E144:AI144" si="124">-E$88*ABS($G$32-1)-E$134*ABS($I$32-1)</f>
        <v>0</v>
      </c>
      <c r="F144" s="40">
        <f t="shared" si="124"/>
        <v>55944</v>
      </c>
      <c r="G144" s="40">
        <f t="shared" si="124"/>
        <v>53540.491133283984</v>
      </c>
      <c r="H144" s="40">
        <f t="shared" si="124"/>
        <v>50992.771734565009</v>
      </c>
      <c r="I144" s="40">
        <f t="shared" si="124"/>
        <v>48292.189171922895</v>
      </c>
      <c r="J144" s="40">
        <f t="shared" si="124"/>
        <v>45429.571655522261</v>
      </c>
      <c r="K144" s="40">
        <f t="shared" si="124"/>
        <v>42395.197088137582</v>
      </c>
      <c r="L144" s="40">
        <f t="shared" si="124"/>
        <v>39178.760046709824</v>
      </c>
      <c r="M144" s="40">
        <f t="shared" si="124"/>
        <v>35769.336782796403</v>
      </c>
      <c r="N144" s="40">
        <f t="shared" si="124"/>
        <v>32155.348123048174</v>
      </c>
      <c r="O144" s="40">
        <f t="shared" si="124"/>
        <v>28324.52014371505</v>
      </c>
      <c r="P144" s="40">
        <f t="shared" si="124"/>
        <v>24263.842485621943</v>
      </c>
      <c r="Q144" s="40">
        <f t="shared" si="124"/>
        <v>19959.524168043245</v>
      </c>
      <c r="R144" s="40">
        <f t="shared" si="124"/>
        <v>15396.946751409825</v>
      </c>
      <c r="S144" s="40">
        <f t="shared" si="124"/>
        <v>10560.614689778402</v>
      </c>
      <c r="T144" s="40">
        <f t="shared" si="124"/>
        <v>5434.102704449092</v>
      </c>
      <c r="U144" s="40">
        <f t="shared" si="124"/>
        <v>0</v>
      </c>
      <c r="V144" s="40">
        <f t="shared" si="124"/>
        <v>0</v>
      </c>
      <c r="W144" s="40">
        <f t="shared" si="124"/>
        <v>0</v>
      </c>
      <c r="X144" s="40">
        <f t="shared" si="124"/>
        <v>0</v>
      </c>
      <c r="Y144" s="40">
        <f t="shared" si="124"/>
        <v>0</v>
      </c>
      <c r="Z144" s="40">
        <f t="shared" si="124"/>
        <v>0</v>
      </c>
      <c r="AA144" s="40">
        <f t="shared" si="124"/>
        <v>0</v>
      </c>
      <c r="AB144" s="40">
        <f t="shared" si="124"/>
        <v>0</v>
      </c>
      <c r="AC144" s="40">
        <f t="shared" si="124"/>
        <v>0</v>
      </c>
      <c r="AD144" s="40">
        <f t="shared" si="124"/>
        <v>0</v>
      </c>
      <c r="AE144" s="40">
        <f t="shared" si="124"/>
        <v>0</v>
      </c>
      <c r="AF144" s="40">
        <f t="shared" si="124"/>
        <v>0</v>
      </c>
      <c r="AG144" s="40">
        <f t="shared" si="124"/>
        <v>0</v>
      </c>
      <c r="AH144" s="40">
        <f t="shared" si="124"/>
        <v>0</v>
      </c>
      <c r="AI144" s="40">
        <f t="shared" si="124"/>
        <v>0</v>
      </c>
    </row>
    <row r="145" spans="1:35" ht="18" x14ac:dyDescent="0.25">
      <c r="A145" s="171" t="s">
        <v>154</v>
      </c>
      <c r="B145" s="9"/>
      <c r="C145" s="183"/>
      <c r="T145" s="2"/>
      <c r="U145" s="26"/>
    </row>
    <row r="146" spans="1:35" x14ac:dyDescent="0.2">
      <c r="A146" s="170" t="s">
        <v>169</v>
      </c>
      <c r="B146" s="113">
        <f>'User Inputs'!D43</f>
        <v>0.06</v>
      </c>
      <c r="C146" s="182">
        <f>E146+NPV(B146,F146:AI146)</f>
        <v>0</v>
      </c>
      <c r="E146" s="40">
        <f t="shared" ref="E146:AI146" si="125">IF($B$14="Local Economy",E$79,0)</f>
        <v>0</v>
      </c>
      <c r="F146" s="40">
        <f t="shared" si="125"/>
        <v>0</v>
      </c>
      <c r="G146" s="40">
        <f t="shared" si="125"/>
        <v>0</v>
      </c>
      <c r="H146" s="40">
        <f t="shared" si="125"/>
        <v>0</v>
      </c>
      <c r="I146" s="40">
        <f t="shared" si="125"/>
        <v>0</v>
      </c>
      <c r="J146" s="40">
        <f t="shared" si="125"/>
        <v>0</v>
      </c>
      <c r="K146" s="40">
        <f t="shared" si="125"/>
        <v>0</v>
      </c>
      <c r="L146" s="40">
        <f t="shared" si="125"/>
        <v>0</v>
      </c>
      <c r="M146" s="40">
        <f t="shared" si="125"/>
        <v>0</v>
      </c>
      <c r="N146" s="40">
        <f t="shared" si="125"/>
        <v>0</v>
      </c>
      <c r="O146" s="40">
        <f t="shared" si="125"/>
        <v>0</v>
      </c>
      <c r="P146" s="40">
        <f t="shared" si="125"/>
        <v>0</v>
      </c>
      <c r="Q146" s="40">
        <f t="shared" si="125"/>
        <v>0</v>
      </c>
      <c r="R146" s="40">
        <f t="shared" si="125"/>
        <v>0</v>
      </c>
      <c r="S146" s="40">
        <f t="shared" si="125"/>
        <v>0</v>
      </c>
      <c r="T146" s="40">
        <f t="shared" si="125"/>
        <v>0</v>
      </c>
      <c r="U146" s="40">
        <f t="shared" si="125"/>
        <v>0</v>
      </c>
      <c r="V146" s="40">
        <f t="shared" si="125"/>
        <v>0</v>
      </c>
      <c r="W146" s="40">
        <f t="shared" si="125"/>
        <v>0</v>
      </c>
      <c r="X146" s="40">
        <f t="shared" si="125"/>
        <v>0</v>
      </c>
      <c r="Y146" s="40">
        <f t="shared" si="125"/>
        <v>0</v>
      </c>
      <c r="Z146" s="40">
        <f t="shared" si="125"/>
        <v>0</v>
      </c>
      <c r="AA146" s="40">
        <f t="shared" si="125"/>
        <v>0</v>
      </c>
      <c r="AB146" s="40">
        <f t="shared" si="125"/>
        <v>0</v>
      </c>
      <c r="AC146" s="40">
        <f t="shared" si="125"/>
        <v>0</v>
      </c>
      <c r="AD146" s="40">
        <f t="shared" si="125"/>
        <v>0</v>
      </c>
      <c r="AE146" s="40">
        <f t="shared" si="125"/>
        <v>0</v>
      </c>
      <c r="AF146" s="40">
        <f t="shared" si="125"/>
        <v>0</v>
      </c>
      <c r="AG146" s="40">
        <f t="shared" si="125"/>
        <v>0</v>
      </c>
      <c r="AH146" s="40">
        <f t="shared" si="125"/>
        <v>0</v>
      </c>
      <c r="AI146" s="40">
        <f t="shared" si="125"/>
        <v>0</v>
      </c>
    </row>
    <row r="147" spans="1:35" x14ac:dyDescent="0.2">
      <c r="A147" s="170" t="s">
        <v>153</v>
      </c>
      <c r="B147" s="113">
        <f>'User Inputs'!D44</f>
        <v>0.06</v>
      </c>
      <c r="C147" s="182">
        <f>E147+NPV(B147,F147:AI147)</f>
        <v>0</v>
      </c>
      <c r="E147" s="40">
        <f t="shared" ref="E147:AI147" si="126">E125</f>
        <v>0</v>
      </c>
      <c r="F147" s="40">
        <f t="shared" si="126"/>
        <v>0</v>
      </c>
      <c r="G147" s="40">
        <f t="shared" si="126"/>
        <v>0</v>
      </c>
      <c r="H147" s="40">
        <f t="shared" si="126"/>
        <v>0</v>
      </c>
      <c r="I147" s="40">
        <f t="shared" si="126"/>
        <v>0</v>
      </c>
      <c r="J147" s="40">
        <f t="shared" si="126"/>
        <v>0</v>
      </c>
      <c r="K147" s="40">
        <f t="shared" si="126"/>
        <v>0</v>
      </c>
      <c r="L147" s="40">
        <f t="shared" si="126"/>
        <v>0</v>
      </c>
      <c r="M147" s="40">
        <f t="shared" si="126"/>
        <v>0</v>
      </c>
      <c r="N147" s="40">
        <f t="shared" si="126"/>
        <v>0</v>
      </c>
      <c r="O147" s="40">
        <f t="shared" si="126"/>
        <v>0</v>
      </c>
      <c r="P147" s="40">
        <f t="shared" si="126"/>
        <v>0</v>
      </c>
      <c r="Q147" s="40">
        <f t="shared" si="126"/>
        <v>0</v>
      </c>
      <c r="R147" s="40">
        <f t="shared" si="126"/>
        <v>0</v>
      </c>
      <c r="S147" s="40">
        <f t="shared" si="126"/>
        <v>0</v>
      </c>
      <c r="T147" s="40">
        <f t="shared" si="126"/>
        <v>0</v>
      </c>
      <c r="U147" s="40">
        <f t="shared" si="126"/>
        <v>0</v>
      </c>
      <c r="V147" s="40">
        <f t="shared" si="126"/>
        <v>0</v>
      </c>
      <c r="W147" s="40">
        <f t="shared" si="126"/>
        <v>0</v>
      </c>
      <c r="X147" s="40">
        <f t="shared" si="126"/>
        <v>0</v>
      </c>
      <c r="Y147" s="40">
        <f t="shared" si="126"/>
        <v>0</v>
      </c>
      <c r="Z147" s="40">
        <f t="shared" si="126"/>
        <v>0</v>
      </c>
      <c r="AA147" s="40">
        <f t="shared" si="126"/>
        <v>0</v>
      </c>
      <c r="AB147" s="40">
        <f t="shared" si="126"/>
        <v>0</v>
      </c>
      <c r="AC147" s="40">
        <f t="shared" si="126"/>
        <v>0</v>
      </c>
      <c r="AD147" s="40">
        <f t="shared" si="126"/>
        <v>0</v>
      </c>
      <c r="AE147" s="40">
        <f t="shared" si="126"/>
        <v>0</v>
      </c>
      <c r="AF147" s="40">
        <f t="shared" si="126"/>
        <v>0</v>
      </c>
      <c r="AG147" s="40">
        <f t="shared" si="126"/>
        <v>0</v>
      </c>
      <c r="AH147" s="40">
        <f t="shared" si="126"/>
        <v>0</v>
      </c>
      <c r="AI147" s="40">
        <f t="shared" si="126"/>
        <v>0</v>
      </c>
    </row>
    <row r="148" spans="1:35" x14ac:dyDescent="0.2">
      <c r="A148" s="170" t="s">
        <v>159</v>
      </c>
      <c r="B148" s="113">
        <f>'User Inputs'!D45</f>
        <v>0.06</v>
      </c>
      <c r="C148" s="182">
        <f>E148+NPV(B148,F148:AI148)</f>
        <v>51364.017812458012</v>
      </c>
      <c r="E148" s="40">
        <f t="shared" ref="E148:AI148" si="127">-(E$53+E$97)*$B$37</f>
        <v>0</v>
      </c>
      <c r="F148" s="40">
        <f t="shared" si="127"/>
        <v>3495.2400000000002</v>
      </c>
      <c r="G148" s="40">
        <f t="shared" si="127"/>
        <v>3547.3190760000007</v>
      </c>
      <c r="H148" s="40">
        <f t="shared" si="127"/>
        <v>3600.1741302324008</v>
      </c>
      <c r="I148" s="40">
        <f t="shared" si="127"/>
        <v>3653.8167247728634</v>
      </c>
      <c r="J148" s="40">
        <f t="shared" si="127"/>
        <v>3708.2585939719793</v>
      </c>
      <c r="K148" s="40">
        <f t="shared" si="127"/>
        <v>3763.5116470221619</v>
      </c>
      <c r="L148" s="40">
        <f t="shared" si="127"/>
        <v>3819.5879705627922</v>
      </c>
      <c r="M148" s="40">
        <f t="shared" si="127"/>
        <v>3876.4998313241763</v>
      </c>
      <c r="N148" s="40">
        <f t="shared" si="127"/>
        <v>3934.2596788109076</v>
      </c>
      <c r="O148" s="40">
        <f t="shared" si="127"/>
        <v>3992.8801480251896</v>
      </c>
      <c r="P148" s="40">
        <f t="shared" si="127"/>
        <v>4052.374062230765</v>
      </c>
      <c r="Q148" s="40">
        <f t="shared" si="127"/>
        <v>4112.7544357580036</v>
      </c>
      <c r="R148" s="40">
        <f t="shared" si="127"/>
        <v>4174.0344768507985</v>
      </c>
      <c r="S148" s="40">
        <f t="shared" si="127"/>
        <v>4236.2275905558736</v>
      </c>
      <c r="T148" s="40">
        <f t="shared" si="127"/>
        <v>4299.3473816551586</v>
      </c>
      <c r="U148" s="40">
        <f t="shared" si="127"/>
        <v>4363.4076576418183</v>
      </c>
      <c r="V148" s="40">
        <f t="shared" si="127"/>
        <v>4428.4224317406824</v>
      </c>
      <c r="W148" s="40">
        <f t="shared" si="127"/>
        <v>4494.4059259736187</v>
      </c>
      <c r="X148" s="40">
        <f t="shared" si="127"/>
        <v>4561.3725742706247</v>
      </c>
      <c r="Y148" s="40">
        <f t="shared" si="127"/>
        <v>4629.3370256272565</v>
      </c>
      <c r="Z148" s="40">
        <f t="shared" si="127"/>
        <v>4698.3141473091027</v>
      </c>
      <c r="AA148" s="40">
        <f t="shared" si="127"/>
        <v>4768.3190281040079</v>
      </c>
      <c r="AB148" s="40">
        <f t="shared" si="127"/>
        <v>4839.3669816227584</v>
      </c>
      <c r="AC148" s="40">
        <f t="shared" si="127"/>
        <v>4911.4735496489366</v>
      </c>
      <c r="AD148" s="40">
        <f t="shared" si="127"/>
        <v>4984.6545055387051</v>
      </c>
      <c r="AE148" s="40">
        <f t="shared" si="127"/>
        <v>0</v>
      </c>
      <c r="AF148" s="40">
        <f t="shared" si="127"/>
        <v>0</v>
      </c>
      <c r="AG148" s="40">
        <f t="shared" si="127"/>
        <v>0</v>
      </c>
      <c r="AH148" s="40">
        <f t="shared" si="127"/>
        <v>0</v>
      </c>
      <c r="AI148" s="40">
        <f t="shared" si="127"/>
        <v>0</v>
      </c>
    </row>
    <row r="149" spans="1:35" x14ac:dyDescent="0.2">
      <c r="A149" s="170" t="s">
        <v>161</v>
      </c>
      <c r="B149" s="113">
        <f>'User Inputs'!D46</f>
        <v>0.06</v>
      </c>
      <c r="C149" s="182">
        <f>E149+NPV(B149,F149:AI149)</f>
        <v>0</v>
      </c>
      <c r="E149" s="40">
        <f t="shared" ref="E149:AI149" si="128">-E$88*$G$32-E$134*$I$32</f>
        <v>0</v>
      </c>
      <c r="F149" s="40">
        <f t="shared" si="128"/>
        <v>0</v>
      </c>
      <c r="G149" s="40">
        <f t="shared" si="128"/>
        <v>0</v>
      </c>
      <c r="H149" s="40">
        <f t="shared" si="128"/>
        <v>0</v>
      </c>
      <c r="I149" s="40">
        <f t="shared" si="128"/>
        <v>0</v>
      </c>
      <c r="J149" s="40">
        <f t="shared" si="128"/>
        <v>0</v>
      </c>
      <c r="K149" s="40">
        <f t="shared" si="128"/>
        <v>0</v>
      </c>
      <c r="L149" s="40">
        <f t="shared" si="128"/>
        <v>0</v>
      </c>
      <c r="M149" s="40">
        <f t="shared" si="128"/>
        <v>0</v>
      </c>
      <c r="N149" s="40">
        <f t="shared" si="128"/>
        <v>0</v>
      </c>
      <c r="O149" s="40">
        <f t="shared" si="128"/>
        <v>0</v>
      </c>
      <c r="P149" s="40">
        <f t="shared" si="128"/>
        <v>0</v>
      </c>
      <c r="Q149" s="40">
        <f t="shared" si="128"/>
        <v>0</v>
      </c>
      <c r="R149" s="40">
        <f t="shared" si="128"/>
        <v>0</v>
      </c>
      <c r="S149" s="40">
        <f t="shared" si="128"/>
        <v>0</v>
      </c>
      <c r="T149" s="40">
        <f t="shared" si="128"/>
        <v>0</v>
      </c>
      <c r="U149" s="40">
        <f t="shared" si="128"/>
        <v>0</v>
      </c>
      <c r="V149" s="40">
        <f t="shared" si="128"/>
        <v>0</v>
      </c>
      <c r="W149" s="40">
        <f t="shared" si="128"/>
        <v>0</v>
      </c>
      <c r="X149" s="40">
        <f t="shared" si="128"/>
        <v>0</v>
      </c>
      <c r="Y149" s="40">
        <f t="shared" si="128"/>
        <v>0</v>
      </c>
      <c r="Z149" s="40">
        <f t="shared" si="128"/>
        <v>0</v>
      </c>
      <c r="AA149" s="40">
        <f t="shared" si="128"/>
        <v>0</v>
      </c>
      <c r="AB149" s="40">
        <f t="shared" si="128"/>
        <v>0</v>
      </c>
      <c r="AC149" s="40">
        <f t="shared" si="128"/>
        <v>0</v>
      </c>
      <c r="AD149" s="40">
        <f t="shared" si="128"/>
        <v>0</v>
      </c>
      <c r="AE149" s="40">
        <f t="shared" si="128"/>
        <v>0</v>
      </c>
      <c r="AF149" s="40">
        <f t="shared" si="128"/>
        <v>0</v>
      </c>
      <c r="AG149" s="40">
        <f t="shared" si="128"/>
        <v>0</v>
      </c>
      <c r="AH149" s="40">
        <f t="shared" si="128"/>
        <v>0</v>
      </c>
      <c r="AI149" s="40">
        <f t="shared" si="128"/>
        <v>0</v>
      </c>
    </row>
    <row r="150" spans="1:35" x14ac:dyDescent="0.2">
      <c r="A150" s="170" t="s">
        <v>160</v>
      </c>
      <c r="B150" s="113">
        <f>'User Inputs'!D47</f>
        <v>0.06</v>
      </c>
      <c r="C150" s="182">
        <f>E150+NPV(B150,F150:AI150)</f>
        <v>319583.90395671001</v>
      </c>
      <c r="E150" s="40">
        <f t="shared" ref="E150:AI150" si="129">-E$54-E$98</f>
        <v>0</v>
      </c>
      <c r="F150" s="40">
        <f t="shared" si="129"/>
        <v>25000</v>
      </c>
      <c r="G150" s="40">
        <f t="shared" si="129"/>
        <v>25000</v>
      </c>
      <c r="H150" s="40">
        <f t="shared" si="129"/>
        <v>25000</v>
      </c>
      <c r="I150" s="40">
        <f t="shared" si="129"/>
        <v>25000</v>
      </c>
      <c r="J150" s="40">
        <f t="shared" si="129"/>
        <v>25000</v>
      </c>
      <c r="K150" s="40">
        <f t="shared" si="129"/>
        <v>25000</v>
      </c>
      <c r="L150" s="40">
        <f t="shared" si="129"/>
        <v>25000</v>
      </c>
      <c r="M150" s="40">
        <f t="shared" si="129"/>
        <v>25000</v>
      </c>
      <c r="N150" s="40">
        <f t="shared" si="129"/>
        <v>25000</v>
      </c>
      <c r="O150" s="40">
        <f t="shared" si="129"/>
        <v>25000</v>
      </c>
      <c r="P150" s="40">
        <f t="shared" si="129"/>
        <v>25000</v>
      </c>
      <c r="Q150" s="40">
        <f t="shared" si="129"/>
        <v>25000</v>
      </c>
      <c r="R150" s="40">
        <f t="shared" si="129"/>
        <v>25000</v>
      </c>
      <c r="S150" s="40">
        <f t="shared" si="129"/>
        <v>25000</v>
      </c>
      <c r="T150" s="40">
        <f t="shared" si="129"/>
        <v>25000</v>
      </c>
      <c r="U150" s="40">
        <f t="shared" si="129"/>
        <v>25000</v>
      </c>
      <c r="V150" s="40">
        <f t="shared" si="129"/>
        <v>25000</v>
      </c>
      <c r="W150" s="40">
        <f t="shared" si="129"/>
        <v>25000</v>
      </c>
      <c r="X150" s="40">
        <f t="shared" si="129"/>
        <v>25000</v>
      </c>
      <c r="Y150" s="40">
        <f t="shared" si="129"/>
        <v>25000</v>
      </c>
      <c r="Z150" s="40">
        <f t="shared" si="129"/>
        <v>25000</v>
      </c>
      <c r="AA150" s="40">
        <f t="shared" si="129"/>
        <v>25000</v>
      </c>
      <c r="AB150" s="40">
        <f t="shared" si="129"/>
        <v>25000</v>
      </c>
      <c r="AC150" s="40">
        <f t="shared" si="129"/>
        <v>25000</v>
      </c>
      <c r="AD150" s="40">
        <f t="shared" si="129"/>
        <v>25000</v>
      </c>
      <c r="AE150" s="40">
        <f t="shared" si="129"/>
        <v>0</v>
      </c>
      <c r="AF150" s="40">
        <f t="shared" si="129"/>
        <v>0</v>
      </c>
      <c r="AG150" s="40">
        <f t="shared" si="129"/>
        <v>0</v>
      </c>
      <c r="AH150" s="40">
        <f t="shared" si="129"/>
        <v>0</v>
      </c>
      <c r="AI150" s="40">
        <f t="shared" si="129"/>
        <v>0</v>
      </c>
    </row>
    <row r="151" spans="1:35" x14ac:dyDescent="0.2">
      <c r="C151" s="183"/>
      <c r="T151" s="2"/>
      <c r="U151" s="26"/>
    </row>
    <row r="152" spans="1:35" ht="15.75" x14ac:dyDescent="0.25">
      <c r="A152" s="112" t="s">
        <v>83</v>
      </c>
      <c r="B152" s="188" t="s">
        <v>235</v>
      </c>
      <c r="C152" s="182">
        <f>C153+C154</f>
        <v>1359895.6770899058</v>
      </c>
      <c r="E152" s="40">
        <f t="shared" ref="E152:AI152" si="130">SUM(E142:E150)</f>
        <v>-621600</v>
      </c>
      <c r="F152" s="40">
        <f t="shared" si="130"/>
        <v>225651.94632806641</v>
      </c>
      <c r="G152" s="40">
        <f t="shared" si="130"/>
        <v>267674.85871277965</v>
      </c>
      <c r="H152" s="40">
        <f t="shared" si="130"/>
        <v>214364.75363513207</v>
      </c>
      <c r="I152" s="40">
        <f t="shared" si="130"/>
        <v>180504.5596259548</v>
      </c>
      <c r="J152" s="40">
        <f t="shared" si="130"/>
        <v>175904.42972633376</v>
      </c>
      <c r="K152" s="40">
        <f t="shared" si="130"/>
        <v>148986.61376009881</v>
      </c>
      <c r="L152" s="40">
        <f t="shared" si="130"/>
        <v>121837.25622502291</v>
      </c>
      <c r="M152" s="40">
        <f t="shared" si="130"/>
        <v>116541.71165991278</v>
      </c>
      <c r="N152" s="40">
        <f t="shared" si="130"/>
        <v>110985.71333620638</v>
      </c>
      <c r="O152" s="40">
        <f t="shared" si="130"/>
        <v>54277.499113609971</v>
      </c>
      <c r="P152" s="40">
        <f t="shared" si="130"/>
        <v>99028.366289681435</v>
      </c>
      <c r="Q152" s="40">
        <f t="shared" si="130"/>
        <v>92592.615263062326</v>
      </c>
      <c r="R152" s="40">
        <f t="shared" si="130"/>
        <v>85827.489819245442</v>
      </c>
      <c r="S152" s="40">
        <f t="shared" si="130"/>
        <v>78713.11383629925</v>
      </c>
      <c r="T152" s="40">
        <f t="shared" si="130"/>
        <v>71228.424195817424</v>
      </c>
      <c r="U152" s="40">
        <f t="shared" si="130"/>
        <v>159353.58078341352</v>
      </c>
      <c r="V152" s="40">
        <f t="shared" si="130"/>
        <v>158393.78820299395</v>
      </c>
      <c r="W152" s="40">
        <f t="shared" si="130"/>
        <v>157432.66723478111</v>
      </c>
      <c r="X152" s="40">
        <f t="shared" si="130"/>
        <v>156470.0534869883</v>
      </c>
      <c r="Y152" s="40">
        <f t="shared" si="130"/>
        <v>104629.77884798005</v>
      </c>
      <c r="Z152" s="40">
        <f t="shared" si="130"/>
        <v>191225.32376917763</v>
      </c>
      <c r="AA152" s="40">
        <f t="shared" si="130"/>
        <v>193471.44042313576</v>
      </c>
      <c r="AB152" s="40">
        <f t="shared" si="130"/>
        <v>195749.92251590959</v>
      </c>
      <c r="AC152" s="40">
        <f t="shared" si="130"/>
        <v>198061.16758684212</v>
      </c>
      <c r="AD152" s="40">
        <f t="shared" si="130"/>
        <v>200405.57726678616</v>
      </c>
      <c r="AE152" s="40">
        <f t="shared" si="130"/>
        <v>0</v>
      </c>
      <c r="AF152" s="40">
        <f t="shared" si="130"/>
        <v>0</v>
      </c>
      <c r="AG152" s="40">
        <f t="shared" si="130"/>
        <v>0</v>
      </c>
      <c r="AH152" s="40">
        <f t="shared" si="130"/>
        <v>0</v>
      </c>
      <c r="AI152" s="40">
        <f t="shared" si="130"/>
        <v>0</v>
      </c>
    </row>
    <row r="153" spans="1:35" x14ac:dyDescent="0.2">
      <c r="A153" s="37" t="s">
        <v>154</v>
      </c>
      <c r="B153" s="113">
        <f>'User Inputs'!D42</f>
        <v>0.06</v>
      </c>
      <c r="C153" s="182">
        <f t="shared" ref="C153:C154" si="131">E153+NPV(B153,F153:AI153)</f>
        <v>370947.92176916794</v>
      </c>
      <c r="E153" s="40">
        <f>SUM(E146:E150)</f>
        <v>0</v>
      </c>
      <c r="F153" s="40">
        <f t="shared" ref="F153:AI153" si="132">SUM(F146:F150)</f>
        <v>28495.24</v>
      </c>
      <c r="G153" s="40">
        <f t="shared" si="132"/>
        <v>28547.319076</v>
      </c>
      <c r="H153" s="40">
        <f t="shared" si="132"/>
        <v>28600.174130232401</v>
      </c>
      <c r="I153" s="40">
        <f t="shared" si="132"/>
        <v>28653.816724772863</v>
      </c>
      <c r="J153" s="40">
        <f t="shared" si="132"/>
        <v>28708.258593971979</v>
      </c>
      <c r="K153" s="40">
        <f t="shared" si="132"/>
        <v>28763.511647022162</v>
      </c>
      <c r="L153" s="40">
        <f t="shared" si="132"/>
        <v>28819.587970562792</v>
      </c>
      <c r="M153" s="40">
        <f t="shared" si="132"/>
        <v>28876.499831324178</v>
      </c>
      <c r="N153" s="40">
        <f t="shared" si="132"/>
        <v>28934.259678810908</v>
      </c>
      <c r="O153" s="40">
        <f t="shared" si="132"/>
        <v>28992.88014802519</v>
      </c>
      <c r="P153" s="40">
        <f t="shared" si="132"/>
        <v>29052.374062230767</v>
      </c>
      <c r="Q153" s="40">
        <f t="shared" si="132"/>
        <v>29112.754435758005</v>
      </c>
      <c r="R153" s="40">
        <f t="shared" si="132"/>
        <v>29174.0344768508</v>
      </c>
      <c r="S153" s="40">
        <f t="shared" si="132"/>
        <v>29236.227590555874</v>
      </c>
      <c r="T153" s="40">
        <f t="shared" si="132"/>
        <v>29299.34738165516</v>
      </c>
      <c r="U153" s="40">
        <f t="shared" si="132"/>
        <v>29363.407657641819</v>
      </c>
      <c r="V153" s="40">
        <f t="shared" si="132"/>
        <v>29428.422431740684</v>
      </c>
      <c r="W153" s="40">
        <f t="shared" si="132"/>
        <v>29494.405925973617</v>
      </c>
      <c r="X153" s="40">
        <f t="shared" si="132"/>
        <v>29561.372574270623</v>
      </c>
      <c r="Y153" s="40">
        <f t="shared" si="132"/>
        <v>29629.337025627257</v>
      </c>
      <c r="Z153" s="40">
        <f t="shared" si="132"/>
        <v>29698.314147309102</v>
      </c>
      <c r="AA153" s="40">
        <f t="shared" si="132"/>
        <v>29768.319028104008</v>
      </c>
      <c r="AB153" s="40">
        <f t="shared" si="132"/>
        <v>29839.366981622759</v>
      </c>
      <c r="AC153" s="40">
        <f t="shared" si="132"/>
        <v>29911.473549648937</v>
      </c>
      <c r="AD153" s="40">
        <f t="shared" si="132"/>
        <v>29984.654505538703</v>
      </c>
      <c r="AE153" s="40">
        <f t="shared" si="132"/>
        <v>0</v>
      </c>
      <c r="AF153" s="40">
        <f t="shared" si="132"/>
        <v>0</v>
      </c>
      <c r="AG153" s="40">
        <f t="shared" si="132"/>
        <v>0</v>
      </c>
      <c r="AH153" s="40">
        <f t="shared" si="132"/>
        <v>0</v>
      </c>
      <c r="AI153" s="40">
        <f t="shared" si="132"/>
        <v>0</v>
      </c>
    </row>
    <row r="154" spans="1:35" x14ac:dyDescent="0.2">
      <c r="A154" s="37" t="s">
        <v>165</v>
      </c>
      <c r="B154" s="113">
        <f>'User Inputs'!D38</f>
        <v>0.06</v>
      </c>
      <c r="C154" s="182">
        <f t="shared" si="131"/>
        <v>988947.75532073784</v>
      </c>
      <c r="E154" s="40">
        <f t="shared" ref="E154:AI154" si="133">SUM(E142:E144)</f>
        <v>-621600</v>
      </c>
      <c r="F154" s="40">
        <f t="shared" si="133"/>
        <v>197156.70632806642</v>
      </c>
      <c r="G154" s="40">
        <f t="shared" si="133"/>
        <v>239127.53963677963</v>
      </c>
      <c r="H154" s="40">
        <f t="shared" si="133"/>
        <v>185764.57950489968</v>
      </c>
      <c r="I154" s="40">
        <f t="shared" si="133"/>
        <v>151850.74290118195</v>
      </c>
      <c r="J154" s="40">
        <f t="shared" si="133"/>
        <v>147196.17113236178</v>
      </c>
      <c r="K154" s="40">
        <f t="shared" si="133"/>
        <v>120223.10211307666</v>
      </c>
      <c r="L154" s="40">
        <f t="shared" si="133"/>
        <v>93017.668254460121</v>
      </c>
      <c r="M154" s="40">
        <f t="shared" si="133"/>
        <v>87665.211828588595</v>
      </c>
      <c r="N154" s="40">
        <f t="shared" si="133"/>
        <v>82051.453657395468</v>
      </c>
      <c r="O154" s="40">
        <f t="shared" si="133"/>
        <v>25284.618965584781</v>
      </c>
      <c r="P154" s="40">
        <f t="shared" si="133"/>
        <v>69975.992227450668</v>
      </c>
      <c r="Q154" s="40">
        <f t="shared" si="133"/>
        <v>63479.860827304328</v>
      </c>
      <c r="R154" s="40">
        <f t="shared" si="133"/>
        <v>56653.455342394634</v>
      </c>
      <c r="S154" s="40">
        <f t="shared" si="133"/>
        <v>49476.886245743372</v>
      </c>
      <c r="T154" s="40">
        <f t="shared" si="133"/>
        <v>41929.076814162268</v>
      </c>
      <c r="U154" s="40">
        <f t="shared" si="133"/>
        <v>129990.1731257717</v>
      </c>
      <c r="V154" s="40">
        <f t="shared" si="133"/>
        <v>128965.36577125327</v>
      </c>
      <c r="W154" s="40">
        <f t="shared" si="133"/>
        <v>127938.2613088075</v>
      </c>
      <c r="X154" s="40">
        <f t="shared" si="133"/>
        <v>126908.68091271768</v>
      </c>
      <c r="Y154" s="40">
        <f t="shared" si="133"/>
        <v>75000.44182235279</v>
      </c>
      <c r="Z154" s="40">
        <f t="shared" si="133"/>
        <v>161527.00962186852</v>
      </c>
      <c r="AA154" s="40">
        <f t="shared" si="133"/>
        <v>163703.12139503175</v>
      </c>
      <c r="AB154" s="40">
        <f t="shared" si="133"/>
        <v>165910.55553428683</v>
      </c>
      <c r="AC154" s="40">
        <f t="shared" si="133"/>
        <v>168149.69403719317</v>
      </c>
      <c r="AD154" s="40">
        <f t="shared" si="133"/>
        <v>170420.92276124746</v>
      </c>
      <c r="AE154" s="40">
        <f t="shared" si="133"/>
        <v>0</v>
      </c>
      <c r="AF154" s="40">
        <f t="shared" si="133"/>
        <v>0</v>
      </c>
      <c r="AG154" s="40">
        <f t="shared" si="133"/>
        <v>0</v>
      </c>
      <c r="AH154" s="40">
        <f t="shared" si="133"/>
        <v>0</v>
      </c>
      <c r="AI154" s="40">
        <f t="shared" si="133"/>
        <v>0</v>
      </c>
    </row>
    <row r="155" spans="1:35" x14ac:dyDescent="0.2">
      <c r="A155" s="37" t="s">
        <v>173</v>
      </c>
      <c r="C155" s="182">
        <f>AI155</f>
        <v>729945.35957525042</v>
      </c>
      <c r="E155" s="40">
        <f>D155+E153</f>
        <v>0</v>
      </c>
      <c r="F155" s="40">
        <f t="shared" ref="F155:AI155" si="134">E155+F153</f>
        <v>28495.24</v>
      </c>
      <c r="G155" s="40">
        <f t="shared" si="134"/>
        <v>57042.559076000005</v>
      </c>
      <c r="H155" s="40">
        <f t="shared" si="134"/>
        <v>85642.733206232399</v>
      </c>
      <c r="I155" s="40">
        <f t="shared" si="134"/>
        <v>114296.54993100525</v>
      </c>
      <c r="J155" s="40">
        <f t="shared" si="134"/>
        <v>143004.80852497724</v>
      </c>
      <c r="K155" s="40">
        <f t="shared" si="134"/>
        <v>171768.3201719994</v>
      </c>
      <c r="L155" s="40">
        <f t="shared" si="134"/>
        <v>200587.9081425622</v>
      </c>
      <c r="M155" s="40">
        <f t="shared" si="134"/>
        <v>229464.40797388638</v>
      </c>
      <c r="N155" s="40">
        <f t="shared" si="134"/>
        <v>258398.6676526973</v>
      </c>
      <c r="O155" s="40">
        <f t="shared" si="134"/>
        <v>287391.54780072247</v>
      </c>
      <c r="P155" s="40">
        <f t="shared" si="134"/>
        <v>316443.92186295323</v>
      </c>
      <c r="Q155" s="40">
        <f t="shared" si="134"/>
        <v>345556.67629871122</v>
      </c>
      <c r="R155" s="40">
        <f t="shared" si="134"/>
        <v>374730.71077556204</v>
      </c>
      <c r="S155" s="40">
        <f t="shared" si="134"/>
        <v>403966.93836611789</v>
      </c>
      <c r="T155" s="40">
        <f t="shared" si="134"/>
        <v>433266.28574777307</v>
      </c>
      <c r="U155" s="40">
        <f t="shared" si="134"/>
        <v>462629.69340541487</v>
      </c>
      <c r="V155" s="40">
        <f t="shared" si="134"/>
        <v>492058.11583715555</v>
      </c>
      <c r="W155" s="40">
        <f t="shared" si="134"/>
        <v>521552.52176312916</v>
      </c>
      <c r="X155" s="40">
        <f t="shared" si="134"/>
        <v>551113.89433739975</v>
      </c>
      <c r="Y155" s="40">
        <f t="shared" si="134"/>
        <v>580743.23136302701</v>
      </c>
      <c r="Z155" s="40">
        <f t="shared" si="134"/>
        <v>610441.54551033606</v>
      </c>
      <c r="AA155" s="40">
        <f t="shared" si="134"/>
        <v>640209.86453844002</v>
      </c>
      <c r="AB155" s="40">
        <f t="shared" si="134"/>
        <v>670049.23152006278</v>
      </c>
      <c r="AC155" s="40">
        <f t="shared" si="134"/>
        <v>699960.70506971166</v>
      </c>
      <c r="AD155" s="40">
        <f t="shared" si="134"/>
        <v>729945.35957525042</v>
      </c>
      <c r="AE155" s="40">
        <f t="shared" si="134"/>
        <v>729945.35957525042</v>
      </c>
      <c r="AF155" s="40">
        <f t="shared" si="134"/>
        <v>729945.35957525042</v>
      </c>
      <c r="AG155" s="40">
        <f t="shared" si="134"/>
        <v>729945.35957525042</v>
      </c>
      <c r="AH155" s="40">
        <f t="shared" si="134"/>
        <v>729945.35957525042</v>
      </c>
      <c r="AI155" s="40">
        <f t="shared" si="134"/>
        <v>729945.35957525042</v>
      </c>
    </row>
    <row r="156" spans="1:35" x14ac:dyDescent="0.2">
      <c r="A156" s="37" t="s">
        <v>174</v>
      </c>
      <c r="C156" s="182">
        <f>AI156</f>
        <v>2407767.2920699813</v>
      </c>
      <c r="E156" s="40">
        <f>D156+E154</f>
        <v>-621600</v>
      </c>
      <c r="F156" s="40">
        <f t="shared" ref="F156:AI156" si="135">E156+F154</f>
        <v>-424443.29367193358</v>
      </c>
      <c r="G156" s="40">
        <f t="shared" si="135"/>
        <v>-185315.75403515395</v>
      </c>
      <c r="H156" s="40">
        <f t="shared" si="135"/>
        <v>448.82546974573052</v>
      </c>
      <c r="I156" s="40">
        <f t="shared" si="135"/>
        <v>152299.56837092768</v>
      </c>
      <c r="J156" s="40">
        <f t="shared" si="135"/>
        <v>299495.73950328946</v>
      </c>
      <c r="K156" s="40">
        <f t="shared" si="135"/>
        <v>419718.84161636612</v>
      </c>
      <c r="L156" s="40">
        <f t="shared" si="135"/>
        <v>512736.50987082627</v>
      </c>
      <c r="M156" s="40">
        <f t="shared" si="135"/>
        <v>600401.72169941489</v>
      </c>
      <c r="N156" s="40">
        <f t="shared" si="135"/>
        <v>682453.17535681033</v>
      </c>
      <c r="O156" s="40">
        <f t="shared" si="135"/>
        <v>707737.79432239512</v>
      </c>
      <c r="P156" s="40">
        <f t="shared" si="135"/>
        <v>777713.78654984583</v>
      </c>
      <c r="Q156" s="40">
        <f t="shared" si="135"/>
        <v>841193.64737715013</v>
      </c>
      <c r="R156" s="40">
        <f t="shared" si="135"/>
        <v>897847.10271954478</v>
      </c>
      <c r="S156" s="40">
        <f t="shared" si="135"/>
        <v>947323.98896528815</v>
      </c>
      <c r="T156" s="40">
        <f t="shared" si="135"/>
        <v>989253.06577945047</v>
      </c>
      <c r="U156" s="40">
        <f t="shared" si="135"/>
        <v>1119243.2389052222</v>
      </c>
      <c r="V156" s="40">
        <f t="shared" si="135"/>
        <v>1248208.6046764755</v>
      </c>
      <c r="W156" s="40">
        <f t="shared" si="135"/>
        <v>1376146.8659852829</v>
      </c>
      <c r="X156" s="40">
        <f t="shared" si="135"/>
        <v>1503055.5468980006</v>
      </c>
      <c r="Y156" s="40">
        <f t="shared" si="135"/>
        <v>1578055.9887203535</v>
      </c>
      <c r="Z156" s="40">
        <f t="shared" si="135"/>
        <v>1739582.9983422221</v>
      </c>
      <c r="AA156" s="40">
        <f t="shared" si="135"/>
        <v>1903286.1197372538</v>
      </c>
      <c r="AB156" s="40">
        <f t="shared" si="135"/>
        <v>2069196.6752715406</v>
      </c>
      <c r="AC156" s="40">
        <f t="shared" si="135"/>
        <v>2237346.3693087338</v>
      </c>
      <c r="AD156" s="40">
        <f t="shared" si="135"/>
        <v>2407767.2920699813</v>
      </c>
      <c r="AE156" s="40">
        <f t="shared" si="135"/>
        <v>2407767.2920699813</v>
      </c>
      <c r="AF156" s="40">
        <f t="shared" si="135"/>
        <v>2407767.2920699813</v>
      </c>
      <c r="AG156" s="40">
        <f t="shared" si="135"/>
        <v>2407767.2920699813</v>
      </c>
      <c r="AH156" s="40">
        <f t="shared" si="135"/>
        <v>2407767.2920699813</v>
      </c>
      <c r="AI156" s="40">
        <f t="shared" si="135"/>
        <v>2407767.2920699813</v>
      </c>
    </row>
    <row r="157" spans="1:35" x14ac:dyDescent="0.2">
      <c r="A157" s="37" t="s">
        <v>240</v>
      </c>
      <c r="C157" s="182">
        <f>$B$15+IF($B$14="Local Economy",SysCost-$H$14,0)</f>
        <v>0</v>
      </c>
    </row>
    <row r="158" spans="1:35" x14ac:dyDescent="0.2">
      <c r="A158" s="37" t="s">
        <v>241</v>
      </c>
      <c r="C158" s="182">
        <f>-$B$15+IF($B$14="Outside Economy",SysCost-$H$14,0)</f>
        <v>1554000</v>
      </c>
    </row>
    <row r="159" spans="1:35" ht="15.75" x14ac:dyDescent="0.25">
      <c r="A159" s="163"/>
      <c r="C159" s="2"/>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row>
    <row r="160" spans="1:35" x14ac:dyDescent="0.2">
      <c r="C160" s="2"/>
    </row>
    <row r="161" spans="1:20" x14ac:dyDescent="0.2">
      <c r="C161" s="2"/>
    </row>
    <row r="162" spans="1:20" x14ac:dyDescent="0.2">
      <c r="C162" s="2"/>
    </row>
    <row r="163" spans="1:20" ht="15.75" x14ac:dyDescent="0.25">
      <c r="A163" s="163"/>
      <c r="C163" s="2"/>
      <c r="T163" s="2"/>
    </row>
    <row r="164" spans="1:20" x14ac:dyDescent="0.2">
      <c r="C164" s="2"/>
    </row>
    <row r="165" spans="1:20" x14ac:dyDescent="0.2">
      <c r="C165" s="2"/>
    </row>
    <row r="166" spans="1:20" x14ac:dyDescent="0.2">
      <c r="C166" s="2"/>
    </row>
    <row r="167" spans="1:20" x14ac:dyDescent="0.2">
      <c r="C167" s="2"/>
    </row>
    <row r="168" spans="1:20" x14ac:dyDescent="0.2">
      <c r="C168" s="2"/>
    </row>
    <row r="169" spans="1:20" x14ac:dyDescent="0.2">
      <c r="C169" s="2"/>
    </row>
    <row r="170" spans="1:20" x14ac:dyDescent="0.2">
      <c r="C170" s="2"/>
    </row>
    <row r="171" spans="1:20" x14ac:dyDescent="0.2">
      <c r="C171" s="2"/>
    </row>
  </sheetData>
  <sheetProtection algorithmName="SHA-512" hashValue="5gOI4gHTroqvAXNZo1M+plnXZ1XCcnvo7LGKf9ULAtbI7isU9ouP+haZv8duOyR6ZV+jMD6uZe3wCQCjE2FDFA==" saltValue="j6FrIjxD+/YyOkfLZz3//w==" spinCount="100000" sheet="1" objects="1" scenarios="1"/>
  <mergeCells count="2">
    <mergeCell ref="H1:T3"/>
    <mergeCell ref="E1:F3"/>
  </mergeCells>
  <pageMargins left="0.5" right="0.5" top="0.5" bottom="0.5" header="0.5" footer="0.28000000000000003"/>
  <pageSetup scale="33" fitToHeight="4" orientation="landscape" copies="7" r:id="rId1"/>
  <headerFooter>
    <oddFooter>&amp;C&amp;F&amp;R&amp;P</oddFooter>
  </headerFooter>
  <rowBreaks count="1" manualBreakCount="1">
    <brk id="41" max="22"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sheetPr>
  <dimension ref="A1:AP171"/>
  <sheetViews>
    <sheetView zoomScale="68" zoomScaleNormal="68" workbookViewId="0">
      <selection activeCell="A5" sqref="A5"/>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6" customWidth="1"/>
    <col min="21" max="41" width="18.28515625" style="2" customWidth="1"/>
    <col min="42" max="16384" width="9.140625" style="2"/>
  </cols>
  <sheetData>
    <row r="1" spans="1:42" s="53" customFormat="1" ht="26.25" customHeight="1" x14ac:dyDescent="0.4">
      <c r="A1" s="73" t="s">
        <v>75</v>
      </c>
      <c r="B1" s="73"/>
      <c r="C1" s="73"/>
      <c r="D1" s="2"/>
      <c r="E1" s="501" t="s">
        <v>104</v>
      </c>
      <c r="F1" s="501"/>
      <c r="G1" s="2"/>
      <c r="H1" s="499" t="s">
        <v>76</v>
      </c>
      <c r="I1" s="499"/>
      <c r="J1" s="499"/>
      <c r="K1" s="499"/>
      <c r="L1" s="499"/>
      <c r="M1" s="499"/>
      <c r="N1" s="499"/>
      <c r="O1" s="499"/>
      <c r="P1" s="499"/>
      <c r="Q1" s="499"/>
      <c r="R1" s="499"/>
      <c r="S1" s="499"/>
      <c r="T1" s="499"/>
      <c r="U1" s="5"/>
      <c r="V1" s="5"/>
      <c r="W1" s="5"/>
      <c r="X1" s="5"/>
      <c r="Y1" s="5"/>
      <c r="Z1" s="5"/>
      <c r="AA1" s="5"/>
      <c r="AB1" s="5"/>
      <c r="AC1" s="5"/>
      <c r="AD1" s="2"/>
      <c r="AE1" s="2"/>
      <c r="AF1" s="2"/>
      <c r="AG1" s="2"/>
      <c r="AH1" s="2"/>
      <c r="AI1" s="2"/>
      <c r="AJ1" s="2"/>
      <c r="AK1" s="2"/>
      <c r="AL1" s="2"/>
      <c r="AM1" s="2"/>
      <c r="AN1" s="2"/>
      <c r="AO1" s="2"/>
      <c r="AP1" s="2"/>
    </row>
    <row r="2" spans="1:42" s="53" customFormat="1" ht="26.25" x14ac:dyDescent="0.4">
      <c r="A2" s="73" t="s">
        <v>251</v>
      </c>
      <c r="B2" s="65"/>
      <c r="C2" s="115"/>
      <c r="D2" s="2"/>
      <c r="E2" s="501"/>
      <c r="F2" s="501"/>
      <c r="G2" s="2"/>
      <c r="H2" s="499"/>
      <c r="I2" s="499"/>
      <c r="J2" s="499"/>
      <c r="K2" s="499"/>
      <c r="L2" s="499"/>
      <c r="M2" s="499"/>
      <c r="N2" s="499"/>
      <c r="O2" s="499"/>
      <c r="P2" s="499"/>
      <c r="Q2" s="499"/>
      <c r="R2" s="499"/>
      <c r="S2" s="499"/>
      <c r="T2" s="499"/>
      <c r="U2" s="2"/>
      <c r="V2" s="2"/>
      <c r="W2" s="2"/>
      <c r="X2" s="2"/>
      <c r="Y2" s="2"/>
      <c r="Z2" s="2"/>
      <c r="AA2" s="2"/>
      <c r="AB2" s="2"/>
      <c r="AC2" s="2"/>
      <c r="AD2" s="2"/>
      <c r="AE2" s="2"/>
      <c r="AF2" s="2"/>
      <c r="AG2" s="2"/>
      <c r="AH2" s="2"/>
      <c r="AI2" s="2"/>
      <c r="AJ2" s="2"/>
      <c r="AK2" s="2"/>
      <c r="AL2" s="2"/>
      <c r="AM2" s="2"/>
      <c r="AN2" s="2"/>
      <c r="AO2" s="2"/>
      <c r="AP2" s="2"/>
    </row>
    <row r="3" spans="1:42" s="53" customFormat="1" ht="26.25" x14ac:dyDescent="0.4">
      <c r="A3" s="207" t="s">
        <v>250</v>
      </c>
      <c r="B3" s="73"/>
      <c r="C3" s="73"/>
      <c r="D3" s="2"/>
      <c r="E3" s="501"/>
      <c r="F3" s="501"/>
      <c r="G3" s="2"/>
      <c r="H3" s="499"/>
      <c r="I3" s="499"/>
      <c r="J3" s="499"/>
      <c r="K3" s="499"/>
      <c r="L3" s="499"/>
      <c r="M3" s="499"/>
      <c r="N3" s="499"/>
      <c r="O3" s="499"/>
      <c r="P3" s="499"/>
      <c r="Q3" s="499"/>
      <c r="R3" s="499"/>
      <c r="S3" s="499"/>
      <c r="T3" s="499"/>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0"/>
      <c r="B4" s="30"/>
      <c r="C4" s="16"/>
      <c r="D4" s="4" t="s">
        <v>54</v>
      </c>
      <c r="E4" s="67"/>
      <c r="H4" s="62"/>
      <c r="J4" s="30"/>
      <c r="K4" s="30"/>
      <c r="L4" s="30"/>
      <c r="M4" s="30"/>
      <c r="N4" s="30"/>
      <c r="O4" s="30"/>
      <c r="P4" s="30"/>
      <c r="Q4" s="5"/>
      <c r="R4" s="5"/>
      <c r="S4" s="5"/>
      <c r="T4" s="27"/>
      <c r="U4" s="5"/>
      <c r="V4" s="5"/>
      <c r="W4" s="5"/>
    </row>
    <row r="5" spans="1:42" ht="24" customHeight="1" x14ac:dyDescent="0.25">
      <c r="B5" s="32"/>
      <c r="C5" s="16"/>
      <c r="D5" s="203" t="s">
        <v>237</v>
      </c>
      <c r="R5" s="5"/>
      <c r="S5" s="5"/>
      <c r="T5" s="27"/>
      <c r="U5" s="5"/>
      <c r="V5" s="5"/>
      <c r="W5" s="5"/>
    </row>
    <row r="6" spans="1:42" ht="24" customHeight="1" x14ac:dyDescent="0.25">
      <c r="A6" s="69" t="s">
        <v>94</v>
      </c>
      <c r="B6" s="205" t="str">
        <f>'User Inputs'!B11</f>
        <v>B</v>
      </c>
      <c r="D6" s="204" t="s">
        <v>93</v>
      </c>
      <c r="T6" s="2"/>
    </row>
    <row r="7" spans="1:42" ht="18.75" customHeight="1" x14ac:dyDescent="0.25">
      <c r="A7" s="69"/>
      <c r="C7" s="2"/>
      <c r="T7" s="2"/>
    </row>
    <row r="8" spans="1:42" ht="18.75" customHeight="1" x14ac:dyDescent="0.25">
      <c r="A8" s="69" t="s">
        <v>82</v>
      </c>
      <c r="B8" s="75" t="str">
        <f>VLOOKUP($B$6,'User Inputs'!$B$10:$AB$14,'User Inputs'!$C$16)</f>
        <v>Third Party Flip</v>
      </c>
      <c r="C8" s="2"/>
      <c r="H8" s="63"/>
      <c r="R8" s="5"/>
      <c r="S8" s="5"/>
      <c r="T8" s="27"/>
      <c r="U8" s="5"/>
      <c r="V8" s="5"/>
      <c r="W8" s="5"/>
    </row>
    <row r="9" spans="1:42" ht="18.75" customHeight="1" x14ac:dyDescent="0.25">
      <c r="A9" s="1" t="s">
        <v>27</v>
      </c>
      <c r="B9" s="75" t="str">
        <f>IF(VLOOKUP($B$6,'User Inputs'!$B$10:$AB$14,'User Inputs'!$E$16)='User Inputs'!$C$69,"Non-Taxable",
IF(VLOOKUP($B$6,'User Inputs'!$B$10:$AB$14,'User Inputs'!$E$16)='User Inputs'!$C$70,"Taxable (Corporation)", "Taxable (Residential)"))</f>
        <v>Taxable (Corporation)</v>
      </c>
      <c r="C9" s="2"/>
      <c r="H9" s="63"/>
      <c r="N9" s="177"/>
      <c r="R9" s="5"/>
      <c r="S9" s="5"/>
      <c r="T9" s="27"/>
      <c r="U9" s="5"/>
      <c r="V9" s="5"/>
      <c r="W9" s="5"/>
    </row>
    <row r="10" spans="1:42" ht="18.75" customHeight="1" x14ac:dyDescent="0.25">
      <c r="A10" s="8" t="s">
        <v>6</v>
      </c>
      <c r="B10" s="12"/>
      <c r="C10" s="13"/>
      <c r="E10" s="8" t="s">
        <v>25</v>
      </c>
      <c r="G10" s="5"/>
      <c r="H10" s="5"/>
      <c r="I10" s="99"/>
      <c r="J10" s="99"/>
      <c r="K10" s="99"/>
      <c r="L10" s="99"/>
      <c r="M10" s="99"/>
      <c r="N10" s="99"/>
      <c r="O10" s="100"/>
      <c r="P10" s="100"/>
      <c r="Q10" s="101"/>
      <c r="R10" s="100"/>
      <c r="S10" s="100"/>
      <c r="T10" s="99"/>
      <c r="U10" s="100"/>
      <c r="V10" s="100"/>
      <c r="W10" s="100"/>
      <c r="X10" s="100"/>
      <c r="Y10" s="100"/>
      <c r="Z10" s="100"/>
      <c r="AA10" s="100"/>
      <c r="AB10" s="100"/>
      <c r="AC10" s="100"/>
      <c r="AD10" s="100"/>
      <c r="AE10" s="100"/>
      <c r="AF10" s="100"/>
      <c r="AG10" s="100"/>
      <c r="AH10" s="100"/>
      <c r="AI10" s="100"/>
      <c r="AJ10" s="100"/>
      <c r="AK10" s="100"/>
      <c r="AL10" s="100"/>
      <c r="AM10" s="100"/>
      <c r="AN10" s="100"/>
    </row>
    <row r="11" spans="1:42" ht="20.25" customHeight="1" x14ac:dyDescent="0.2">
      <c r="A11" s="18" t="s">
        <v>28</v>
      </c>
      <c r="B11" s="116">
        <f>VLOOKUP($B$6,'User Inputs'!$B$10:$AB$14,'User Inputs'!$G$16)*1000</f>
        <v>1000000</v>
      </c>
      <c r="C11" s="13" t="s">
        <v>9</v>
      </c>
      <c r="E11" s="18" t="s">
        <v>0</v>
      </c>
      <c r="G11" s="78">
        <f>'User Inputs'!$D$32</f>
        <v>0.21</v>
      </c>
      <c r="H11" s="24"/>
      <c r="I11" s="102"/>
      <c r="J11" s="103"/>
      <c r="K11" s="102"/>
      <c r="L11" s="102"/>
      <c r="M11" s="100"/>
      <c r="N11" s="100"/>
      <c r="O11" s="101"/>
      <c r="P11" s="100"/>
      <c r="Q11" s="100"/>
      <c r="R11" s="99"/>
      <c r="S11" s="100"/>
      <c r="T11" s="100"/>
      <c r="U11" s="100"/>
      <c r="V11" s="100"/>
      <c r="W11" s="100"/>
      <c r="X11" s="100"/>
      <c r="Y11" s="100"/>
      <c r="Z11" s="100"/>
      <c r="AA11" s="100"/>
      <c r="AB11" s="100"/>
      <c r="AC11" s="100"/>
      <c r="AD11" s="100"/>
      <c r="AE11" s="100"/>
      <c r="AF11" s="100"/>
      <c r="AG11" s="100"/>
      <c r="AH11" s="100"/>
      <c r="AI11" s="100"/>
      <c r="AJ11" s="100"/>
      <c r="AK11" s="100"/>
      <c r="AL11" s="100"/>
      <c r="AM11" s="104">
        <v>28</v>
      </c>
      <c r="AN11" s="104">
        <v>29</v>
      </c>
      <c r="AO11" s="36">
        <v>30</v>
      </c>
    </row>
    <row r="12" spans="1:42" ht="18" customHeight="1" x14ac:dyDescent="0.2">
      <c r="A12" s="46" t="s">
        <v>62</v>
      </c>
      <c r="B12" s="117">
        <f>VLOOKUP($B$6,'User Inputs'!$B$10:$AB$14,'User Inputs'!$F$16)</f>
        <v>2.1</v>
      </c>
      <c r="C12" s="13" t="s">
        <v>121</v>
      </c>
      <c r="E12" s="18" t="s">
        <v>1</v>
      </c>
      <c r="G12" s="78">
        <f>'User Inputs'!$D$33</f>
        <v>0.08</v>
      </c>
      <c r="H12" s="13"/>
      <c r="I12" s="102"/>
      <c r="J12" s="102"/>
      <c r="K12" s="102"/>
      <c r="L12" s="102"/>
      <c r="M12" s="102"/>
      <c r="N12" s="100"/>
      <c r="O12" s="101"/>
      <c r="P12" s="100"/>
      <c r="Q12" s="100"/>
      <c r="R12" s="99"/>
      <c r="S12" s="100"/>
      <c r="T12" s="100"/>
      <c r="U12" s="100"/>
      <c r="V12" s="100"/>
      <c r="W12" s="100"/>
      <c r="X12" s="100"/>
      <c r="Y12" s="100"/>
      <c r="Z12" s="100"/>
      <c r="AA12" s="100"/>
      <c r="AB12" s="100"/>
      <c r="AC12" s="100"/>
      <c r="AD12" s="100"/>
      <c r="AE12" s="100"/>
      <c r="AF12" s="100"/>
      <c r="AG12" s="100"/>
      <c r="AH12" s="100"/>
      <c r="AI12" s="100"/>
      <c r="AJ12" s="100"/>
      <c r="AK12" s="100"/>
      <c r="AL12" s="100"/>
      <c r="AM12" s="100"/>
      <c r="AN12" s="100"/>
    </row>
    <row r="13" spans="1:42" ht="18" customHeight="1" x14ac:dyDescent="0.2">
      <c r="A13" s="46" t="s">
        <v>63</v>
      </c>
      <c r="B13" s="189">
        <f>costperwatt*SystemSize</f>
        <v>2100000</v>
      </c>
      <c r="C13" s="13"/>
      <c r="E13" s="18" t="s">
        <v>36</v>
      </c>
      <c r="G13" s="197">
        <f>G11+(G12*(1-G11))</f>
        <v>0.2732</v>
      </c>
      <c r="H13" s="13"/>
      <c r="I13" s="102"/>
      <c r="J13" s="102"/>
      <c r="K13" s="102"/>
      <c r="L13" s="102"/>
      <c r="M13" s="102"/>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row>
    <row r="14" spans="1:42" ht="18" customHeight="1" x14ac:dyDescent="0.2">
      <c r="A14" s="18" t="s">
        <v>166</v>
      </c>
      <c r="B14" s="179" t="str">
        <f>VLOOKUP($B$6,'User Inputs'!$B$10:$AB$14,'User Inputs'!$D$16)</f>
        <v>Outside Economy</v>
      </c>
      <c r="C14" s="13"/>
      <c r="E14" s="18" t="s">
        <v>10</v>
      </c>
      <c r="G14" s="195">
        <f>IF(taxable="Non-Taxable", 0,VLOOKUP($B$6,'User Inputs'!$B$10:$AB$14,'User Inputs'!$H$16))</f>
        <v>0.26</v>
      </c>
      <c r="H14" s="196">
        <f>IF(taxable="Non-Taxable",0,SysCost*FedTaxCredit)</f>
        <v>546000</v>
      </c>
      <c r="I14" s="102"/>
      <c r="J14" s="102"/>
      <c r="K14" s="102"/>
      <c r="L14" s="102"/>
      <c r="M14" s="102"/>
      <c r="N14" s="105"/>
      <c r="O14" s="106"/>
      <c r="P14" s="105"/>
      <c r="Q14" s="105"/>
      <c r="R14" s="105"/>
      <c r="S14" s="100"/>
      <c r="T14" s="100"/>
      <c r="U14" s="100"/>
      <c r="V14" s="100"/>
      <c r="W14" s="100"/>
      <c r="X14" s="100"/>
      <c r="Y14" s="100"/>
      <c r="Z14" s="100"/>
      <c r="AA14" s="100"/>
      <c r="AB14" s="100"/>
      <c r="AC14" s="100"/>
      <c r="AD14" s="100"/>
      <c r="AE14" s="100"/>
      <c r="AF14" s="100"/>
      <c r="AG14" s="100"/>
      <c r="AH14" s="100"/>
      <c r="AI14" s="100"/>
      <c r="AJ14" s="100"/>
      <c r="AK14" s="100"/>
      <c r="AL14" s="100"/>
      <c r="AM14" s="100"/>
      <c r="AN14" s="100"/>
    </row>
    <row r="15" spans="1:42" ht="18" customHeight="1" x14ac:dyDescent="0.2">
      <c r="A15" s="18" t="s">
        <v>129</v>
      </c>
      <c r="B15" s="120">
        <f>IF(VLOOKUP($B$6,'User Inputs'!$B$10:$AB$14,'User Inputs'!$W$16)=0, 0,IF(VLOOKUP($B$6,'User Inputs'!$B$10:$AB$14,'User Inputs'!$X$16)&lt;1,SysCost*VLOOKUP($B$6,'User Inputs'!$B$10:$AB$14,'User Inputs'!$X$16),VLOOKUP($B$6,'User Inputs'!$B$10:$AB$14,'User Inputs'!$X$16)))</f>
        <v>525000</v>
      </c>
      <c r="C15" s="20"/>
      <c r="J15" s="102"/>
      <c r="K15" s="102"/>
      <c r="L15" s="102"/>
      <c r="M15" s="102"/>
      <c r="N15" s="107"/>
      <c r="O15" s="107"/>
      <c r="P15" s="107"/>
      <c r="Q15" s="107"/>
      <c r="R15" s="107"/>
      <c r="S15" s="100"/>
      <c r="T15" s="100"/>
      <c r="U15" s="100"/>
      <c r="V15" s="100"/>
      <c r="W15" s="100"/>
      <c r="X15" s="100"/>
      <c r="Y15" s="100"/>
      <c r="Z15" s="100"/>
      <c r="AA15" s="100"/>
      <c r="AB15" s="100"/>
      <c r="AC15" s="100"/>
      <c r="AD15" s="100"/>
      <c r="AE15" s="100"/>
      <c r="AF15" s="100"/>
      <c r="AG15" s="100"/>
      <c r="AH15" s="100"/>
      <c r="AI15" s="100"/>
      <c r="AJ15" s="100"/>
      <c r="AK15" s="100"/>
      <c r="AL15" s="100"/>
      <c r="AM15" s="100"/>
      <c r="AN15" s="100"/>
    </row>
    <row r="16" spans="1:42" ht="18" customHeight="1" x14ac:dyDescent="0.2">
      <c r="A16" s="18" t="s">
        <v>128</v>
      </c>
      <c r="B16" s="119">
        <f>VLOOKUP($B$6,'User Inputs'!$B$10:$AB$14,'User Inputs'!$W$16)</f>
        <v>10</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100"/>
      <c r="AL16" s="100"/>
    </row>
    <row r="17" spans="1:36" ht="18" customHeight="1" x14ac:dyDescent="0.2">
      <c r="A17" s="46" t="s">
        <v>69</v>
      </c>
      <c r="B17" s="190">
        <f>B18/B11</f>
        <v>0</v>
      </c>
      <c r="C17" s="20" t="s">
        <v>12</v>
      </c>
      <c r="E17" s="18" t="s">
        <v>95</v>
      </c>
      <c r="G17" s="198">
        <v>0.2</v>
      </c>
      <c r="H17" s="198">
        <v>0.32</v>
      </c>
      <c r="I17" s="198">
        <v>0.192</v>
      </c>
      <c r="J17" s="198">
        <v>0.1152</v>
      </c>
      <c r="K17" s="198">
        <v>0.1152</v>
      </c>
      <c r="L17" s="198">
        <v>5.7599999999999998E-2</v>
      </c>
      <c r="M17" s="107"/>
      <c r="N17" s="107"/>
      <c r="O17" s="107"/>
      <c r="P17" s="107"/>
      <c r="Q17" s="107"/>
      <c r="R17" s="107"/>
      <c r="S17" s="100"/>
      <c r="T17" s="100"/>
      <c r="U17" s="100"/>
      <c r="V17" s="100"/>
      <c r="W17" s="100"/>
      <c r="X17" s="100"/>
      <c r="Y17" s="100"/>
      <c r="Z17" s="100"/>
      <c r="AA17" s="100"/>
      <c r="AB17" s="100"/>
      <c r="AC17" s="100"/>
      <c r="AD17" s="100"/>
      <c r="AE17" s="100"/>
      <c r="AF17" s="100"/>
      <c r="AG17" s="100"/>
      <c r="AH17" s="100"/>
      <c r="AI17" s="100"/>
      <c r="AJ17" s="100"/>
    </row>
    <row r="18" spans="1:36" ht="18" customHeight="1" x14ac:dyDescent="0.2">
      <c r="A18" s="46" t="s">
        <v>70</v>
      </c>
      <c r="B18" s="118"/>
      <c r="C18" s="20"/>
      <c r="E18" s="18" t="s">
        <v>65</v>
      </c>
      <c r="G18" s="198">
        <f t="shared" ref="G18:AJ18" si="0">IF(taxable="Taxable (Corporation)",G17,0)</f>
        <v>0.2</v>
      </c>
      <c r="H18" s="198">
        <f t="shared" si="0"/>
        <v>0.32</v>
      </c>
      <c r="I18" s="198">
        <f t="shared" si="0"/>
        <v>0.192</v>
      </c>
      <c r="J18" s="198">
        <f t="shared" si="0"/>
        <v>0.1152</v>
      </c>
      <c r="K18" s="198">
        <f t="shared" si="0"/>
        <v>0.1152</v>
      </c>
      <c r="L18" s="198">
        <f t="shared" si="0"/>
        <v>5.7599999999999998E-2</v>
      </c>
      <c r="M18" s="198">
        <f t="shared" si="0"/>
        <v>0</v>
      </c>
      <c r="N18" s="198">
        <f t="shared" si="0"/>
        <v>0</v>
      </c>
      <c r="O18" s="198">
        <f t="shared" si="0"/>
        <v>0</v>
      </c>
      <c r="P18" s="198">
        <f t="shared" si="0"/>
        <v>0</v>
      </c>
      <c r="Q18" s="198">
        <f t="shared" si="0"/>
        <v>0</v>
      </c>
      <c r="R18" s="198">
        <f t="shared" si="0"/>
        <v>0</v>
      </c>
      <c r="S18" s="198">
        <f t="shared" si="0"/>
        <v>0</v>
      </c>
      <c r="T18" s="198">
        <f t="shared" si="0"/>
        <v>0</v>
      </c>
      <c r="U18" s="198">
        <f t="shared" si="0"/>
        <v>0</v>
      </c>
      <c r="V18" s="198">
        <f t="shared" si="0"/>
        <v>0</v>
      </c>
      <c r="W18" s="198">
        <f t="shared" si="0"/>
        <v>0</v>
      </c>
      <c r="X18" s="198">
        <f t="shared" si="0"/>
        <v>0</v>
      </c>
      <c r="Y18" s="198">
        <f t="shared" si="0"/>
        <v>0</v>
      </c>
      <c r="Z18" s="198">
        <f t="shared" si="0"/>
        <v>0</v>
      </c>
      <c r="AA18" s="198">
        <f t="shared" si="0"/>
        <v>0</v>
      </c>
      <c r="AB18" s="198">
        <f t="shared" si="0"/>
        <v>0</v>
      </c>
      <c r="AC18" s="198">
        <f t="shared" si="0"/>
        <v>0</v>
      </c>
      <c r="AD18" s="198">
        <f t="shared" si="0"/>
        <v>0</v>
      </c>
      <c r="AE18" s="198">
        <f t="shared" si="0"/>
        <v>0</v>
      </c>
      <c r="AF18" s="198">
        <f t="shared" si="0"/>
        <v>0</v>
      </c>
      <c r="AG18" s="198">
        <f t="shared" si="0"/>
        <v>0</v>
      </c>
      <c r="AH18" s="198">
        <f t="shared" si="0"/>
        <v>0</v>
      </c>
      <c r="AI18" s="198">
        <f t="shared" si="0"/>
        <v>0</v>
      </c>
      <c r="AJ18" s="198">
        <f t="shared" si="0"/>
        <v>0</v>
      </c>
    </row>
    <row r="19" spans="1:36" ht="18" customHeight="1" x14ac:dyDescent="0.25">
      <c r="A19" s="66" t="s">
        <v>126</v>
      </c>
      <c r="B19" s="75">
        <f>VLOOKUP($B$6,'User Inputs'!$B$10:$AB$14,'User Inputs'!$I$16)</f>
        <v>0</v>
      </c>
      <c r="C19" s="20"/>
      <c r="E19" s="52" t="s">
        <v>66</v>
      </c>
      <c r="O19" s="27"/>
      <c r="P19" s="25"/>
      <c r="Q19" s="25"/>
      <c r="R19" s="22"/>
      <c r="T19" s="2"/>
    </row>
    <row r="20" spans="1:36" ht="18" customHeight="1" x14ac:dyDescent="0.2">
      <c r="E20" s="64" t="s">
        <v>67</v>
      </c>
      <c r="G20" s="114">
        <f>SysCost</f>
        <v>2100000</v>
      </c>
      <c r="O20" s="27"/>
      <c r="P20" s="25"/>
      <c r="Q20" s="25"/>
      <c r="R20" s="22"/>
      <c r="T20" s="2"/>
    </row>
    <row r="21" spans="1:36" ht="18" customHeight="1" x14ac:dyDescent="0.25">
      <c r="A21" s="8" t="s">
        <v>14</v>
      </c>
      <c r="B21" s="12"/>
      <c r="E21" s="64" t="s">
        <v>96</v>
      </c>
      <c r="G21" s="114">
        <f>IF(taxable="Taxable (Corporation)",-Rebate,0)</f>
        <v>0</v>
      </c>
      <c r="O21" s="27"/>
      <c r="P21" s="25"/>
      <c r="Q21" s="25"/>
      <c r="R21" s="22"/>
      <c r="T21" s="2"/>
    </row>
    <row r="22" spans="1:36" ht="18" customHeight="1" x14ac:dyDescent="0.2">
      <c r="A22" s="18" t="s">
        <v>11</v>
      </c>
      <c r="B22" s="191">
        <f>'User Inputs'!$D$21</f>
        <v>0.13300000000000001</v>
      </c>
      <c r="E22" s="64" t="s">
        <v>72</v>
      </c>
      <c r="G22" s="189">
        <f>-H14*0.5</f>
        <v>-273000</v>
      </c>
      <c r="O22" s="27"/>
      <c r="P22" s="25"/>
      <c r="Q22" s="25"/>
      <c r="R22" s="22"/>
      <c r="T22" s="2"/>
    </row>
    <row r="23" spans="1:36" ht="18" customHeight="1" x14ac:dyDescent="0.2">
      <c r="A23" s="18" t="s">
        <v>20</v>
      </c>
      <c r="B23" s="192">
        <f>'User Inputs'!$D$22</f>
        <v>5.0000000000000001E-3</v>
      </c>
      <c r="E23" s="52" t="s">
        <v>66</v>
      </c>
      <c r="G23" s="189">
        <f>SUM(G20:G22)</f>
        <v>1827000</v>
      </c>
      <c r="I23" s="33"/>
      <c r="J23" s="33"/>
      <c r="K23" s="33"/>
      <c r="L23" s="33"/>
      <c r="M23" s="22"/>
      <c r="N23" s="22"/>
      <c r="O23" s="27"/>
      <c r="P23" s="25"/>
      <c r="Q23" s="25"/>
      <c r="R23" s="22"/>
      <c r="T23" s="2"/>
    </row>
    <row r="24" spans="1:36" ht="18" customHeight="1" x14ac:dyDescent="0.25">
      <c r="A24" s="18" t="s">
        <v>123</v>
      </c>
      <c r="B24" s="76">
        <f>'User Inputs'!$D$23</f>
        <v>25</v>
      </c>
      <c r="E24" s="34" t="s">
        <v>26</v>
      </c>
      <c r="G24" s="33"/>
      <c r="H24" s="33"/>
      <c r="I24" s="138" t="s">
        <v>132</v>
      </c>
      <c r="N24" s="22"/>
      <c r="O24" s="27"/>
      <c r="P24" s="5"/>
      <c r="Q24" s="5"/>
      <c r="R24" s="5"/>
      <c r="T24" s="2"/>
    </row>
    <row r="25" spans="1:36" ht="18" customHeight="1" x14ac:dyDescent="0.2">
      <c r="A25" s="18" t="s">
        <v>102</v>
      </c>
      <c r="B25" s="193">
        <v>20</v>
      </c>
      <c r="E25" s="208" t="s">
        <v>257</v>
      </c>
      <c r="F25" s="61"/>
      <c r="G25" s="78">
        <f>VLOOKUP($B$6,'User Inputs'!$B$10:$AB$14,'User Inputs'!$S$16)*(1-FedTaxCredit)</f>
        <v>0.29599999999999999</v>
      </c>
      <c r="H25" s="35" t="s">
        <v>7</v>
      </c>
      <c r="I25" s="78">
        <f>VLOOKUP($B$6,'User Inputs'!$B$10:$AB$14,'User Inputs'!$Y$16)</f>
        <v>0.4</v>
      </c>
      <c r="N25" s="22"/>
      <c r="O25" s="27"/>
      <c r="P25" s="5"/>
      <c r="Q25" s="5"/>
      <c r="R25" s="5"/>
      <c r="T25" s="2"/>
    </row>
    <row r="26" spans="1:36" ht="18" customHeight="1" x14ac:dyDescent="0.2">
      <c r="A26" s="18" t="s">
        <v>109</v>
      </c>
      <c r="B26" s="74">
        <f>VLOOKUP($B$6,'User Inputs'!$B$10:$AB$14,'User Inputs'!$L$16)</f>
        <v>0.2</v>
      </c>
      <c r="E26" s="209" t="s">
        <v>256</v>
      </c>
      <c r="F26" s="61"/>
      <c r="G26" s="199">
        <f>1-FedTaxCredit-G25</f>
        <v>0.44400000000000001</v>
      </c>
      <c r="I26" s="202">
        <f>1-$I$25</f>
        <v>0.6</v>
      </c>
      <c r="J26" s="13"/>
      <c r="K26" s="15"/>
      <c r="L26" s="13"/>
      <c r="M26" s="22"/>
      <c r="N26" s="22"/>
      <c r="O26" s="27"/>
      <c r="P26" s="5"/>
      <c r="Q26" s="5"/>
      <c r="R26" s="5"/>
      <c r="T26" s="2"/>
    </row>
    <row r="27" spans="1:36" ht="18" customHeight="1" x14ac:dyDescent="0.2">
      <c r="A27" s="18" t="s">
        <v>122</v>
      </c>
      <c r="B27" s="76">
        <f>VLOOKUP($B$6,'User Inputs'!$B$10:$AB$14,'User Inputs'!$M$16)</f>
        <v>20</v>
      </c>
      <c r="E27" s="210" t="s">
        <v>64</v>
      </c>
      <c r="F27" s="5"/>
      <c r="G27" s="78">
        <f>VLOOKUP($B$6,'User Inputs'!$B$10:$AB$14,'User Inputs'!$T$16)</f>
        <v>0.06</v>
      </c>
      <c r="H27" s="35" t="s">
        <v>8</v>
      </c>
      <c r="I27" s="78">
        <f>VLOOKUP($B$6,'User Inputs'!$B$10:$AB$14,'User Inputs'!$Z$16)</f>
        <v>0.06</v>
      </c>
      <c r="J27" s="15"/>
      <c r="K27" s="13"/>
      <c r="L27" s="13"/>
      <c r="M27" s="22"/>
      <c r="N27" s="5"/>
      <c r="O27" s="27"/>
      <c r="P27" s="5"/>
      <c r="Q27" s="5"/>
      <c r="R27" s="5"/>
      <c r="T27" s="2"/>
    </row>
    <row r="28" spans="1:36" ht="18" customHeight="1" x14ac:dyDescent="0.2">
      <c r="A28" s="18" t="s">
        <v>113</v>
      </c>
      <c r="B28" s="74">
        <f>VLOOKUP($B$6,'User Inputs'!$B$10:$AB$14,'User Inputs'!$N$16)</f>
        <v>25</v>
      </c>
      <c r="E28" s="210" t="s">
        <v>2</v>
      </c>
      <c r="F28" s="5"/>
      <c r="G28" s="79">
        <f>VLOOKUP($B$6,'User Inputs'!$B$10:$AB$14,'User Inputs'!$U$16)</f>
        <v>10</v>
      </c>
      <c r="I28" s="79">
        <f>VLOOKUP($B$6,'User Inputs'!$B$10:$AB$14,'User Inputs'!$AA$16)</f>
        <v>10</v>
      </c>
      <c r="J28" s="13" t="s">
        <v>21</v>
      </c>
      <c r="K28" s="13"/>
      <c r="L28" s="13"/>
      <c r="M28" s="22"/>
      <c r="N28" s="5"/>
      <c r="O28" s="27"/>
      <c r="P28" s="5"/>
      <c r="Q28" s="5"/>
      <c r="R28" s="5"/>
      <c r="T28" s="2"/>
    </row>
    <row r="29" spans="1:36" ht="18" customHeight="1" x14ac:dyDescent="0.2">
      <c r="A29" s="18" t="s">
        <v>16</v>
      </c>
      <c r="B29" s="74">
        <f>VLOOKUP($B$6,'User Inputs'!$B$10:$AB$14,'User Inputs'!$J$16)</f>
        <v>0.15</v>
      </c>
      <c r="C29" s="2" t="s">
        <v>5</v>
      </c>
      <c r="E29" s="210" t="s">
        <v>71</v>
      </c>
      <c r="F29" s="5"/>
      <c r="G29" s="189">
        <f>SysCost-B18</f>
        <v>2100000</v>
      </c>
      <c r="H29" s="13"/>
      <c r="I29" s="139"/>
      <c r="J29" s="15"/>
      <c r="K29" s="13"/>
      <c r="L29" s="13"/>
      <c r="M29" s="5"/>
      <c r="N29" s="5"/>
      <c r="O29" s="27"/>
      <c r="P29" s="5"/>
      <c r="Q29" s="5"/>
      <c r="R29" s="5"/>
      <c r="T29" s="2"/>
    </row>
    <row r="30" spans="1:36" ht="18" customHeight="1" x14ac:dyDescent="0.2">
      <c r="A30" s="18" t="s">
        <v>17</v>
      </c>
      <c r="B30" s="77">
        <f>VLOOKUP($B$6,'User Inputs'!$B$10:$AB$14,'User Inputs'!$K$16)</f>
        <v>0.02</v>
      </c>
      <c r="C30" s="13" t="s">
        <v>18</v>
      </c>
      <c r="E30" s="211" t="s">
        <v>8</v>
      </c>
      <c r="F30" s="5"/>
      <c r="G30" s="200">
        <f>NetCost*LoanPer-B19</f>
        <v>932400</v>
      </c>
      <c r="H30" s="13"/>
      <c r="I30" s="161">
        <f>$B$15*$I$26</f>
        <v>315000</v>
      </c>
      <c r="J30" s="14"/>
      <c r="K30" s="14"/>
      <c r="L30" s="13"/>
      <c r="M30" s="5"/>
      <c r="N30" s="5"/>
      <c r="O30" s="27"/>
      <c r="P30" s="5"/>
      <c r="Q30" s="5"/>
      <c r="R30" s="5"/>
      <c r="T30" s="2"/>
    </row>
    <row r="31" spans="1:36" ht="18" customHeight="1" x14ac:dyDescent="0.2">
      <c r="A31" s="18" t="s">
        <v>73</v>
      </c>
      <c r="B31" s="74">
        <f>'User Inputs'!D26</f>
        <v>10</v>
      </c>
      <c r="C31" s="13" t="s">
        <v>74</v>
      </c>
      <c r="E31" s="39" t="s">
        <v>143</v>
      </c>
      <c r="G31" s="162" t="str">
        <f>VLOOKUP($B$6,'User Inputs'!$B$10:$AB$14,'User Inputs'!$V$16)</f>
        <v>No</v>
      </c>
      <c r="I31" s="162" t="str">
        <f>VLOOKUP($B$6,'User Inputs'!$B$10:$AB$14,'User Inputs'!$AB$16)</f>
        <v>Yes</v>
      </c>
      <c r="J31" s="15"/>
      <c r="K31" s="13"/>
      <c r="L31" s="13"/>
      <c r="M31" s="5"/>
      <c r="N31" s="5"/>
      <c r="O31" s="27"/>
      <c r="P31" s="5"/>
      <c r="Q31" s="5"/>
      <c r="R31" s="5"/>
      <c r="T31" s="2"/>
    </row>
    <row r="32" spans="1:36" ht="18" customHeight="1" x14ac:dyDescent="0.2">
      <c r="A32" s="18" t="s">
        <v>19</v>
      </c>
      <c r="B32" s="189">
        <f>+OMFactor*SystemSize/1000</f>
        <v>10000</v>
      </c>
      <c r="C32" s="13" t="s">
        <v>29</v>
      </c>
      <c r="D32" s="5"/>
      <c r="G32" s="201">
        <f>IF(G31="Yes",1,0)</f>
        <v>0</v>
      </c>
      <c r="I32" s="201">
        <f>IF(I31="Yes",1,0)</f>
        <v>1</v>
      </c>
      <c r="J32" s="14"/>
      <c r="K32" s="14"/>
      <c r="L32" s="13"/>
      <c r="M32" s="5"/>
      <c r="N32" s="5"/>
      <c r="O32" s="27"/>
      <c r="P32" s="5"/>
      <c r="Q32" s="5"/>
      <c r="R32" s="5"/>
      <c r="T32" s="2"/>
    </row>
    <row r="33" spans="1:35" ht="18" customHeight="1" x14ac:dyDescent="0.2">
      <c r="A33" s="18" t="s">
        <v>22</v>
      </c>
      <c r="B33" s="77">
        <f>'User Inputs'!D27</f>
        <v>2.5000000000000001E-2</v>
      </c>
      <c r="C33" s="13" t="s">
        <v>18</v>
      </c>
      <c r="D33" s="5"/>
      <c r="I33" s="14"/>
      <c r="J33" s="14"/>
      <c r="K33" s="14"/>
      <c r="L33" s="13"/>
      <c r="M33" s="5"/>
      <c r="N33" s="5"/>
      <c r="O33" s="27"/>
      <c r="P33" s="5"/>
      <c r="Q33" s="5"/>
      <c r="R33" s="5"/>
      <c r="T33" s="2"/>
    </row>
    <row r="34" spans="1:35" ht="18" customHeight="1" x14ac:dyDescent="0.2">
      <c r="A34" s="18" t="s">
        <v>23</v>
      </c>
      <c r="B34" s="194">
        <f>'User Inputs'!D28</f>
        <v>7.0000000000000007E-2</v>
      </c>
      <c r="C34" s="13" t="s">
        <v>12</v>
      </c>
      <c r="D34" s="5"/>
      <c r="I34" s="14"/>
      <c r="J34" s="14"/>
      <c r="K34" s="14"/>
    </row>
    <row r="35" spans="1:35" ht="18" customHeight="1" x14ac:dyDescent="0.2">
      <c r="A35" s="18" t="s">
        <v>34</v>
      </c>
      <c r="B35" s="76">
        <f>'User Inputs'!D$29</f>
        <v>10</v>
      </c>
      <c r="C35" s="13" t="s">
        <v>24</v>
      </c>
      <c r="D35" s="5"/>
      <c r="I35" s="14"/>
      <c r="J35" s="14"/>
      <c r="K35" s="14"/>
      <c r="L35" s="15"/>
      <c r="M35" s="13"/>
      <c r="N35" s="13"/>
      <c r="O35" s="5"/>
      <c r="P35" s="5"/>
      <c r="Q35" s="27"/>
      <c r="R35" s="5"/>
      <c r="S35" s="5"/>
      <c r="T35" s="5"/>
    </row>
    <row r="36" spans="1:35" ht="18" customHeight="1" x14ac:dyDescent="0.2">
      <c r="A36" s="18" t="s">
        <v>81</v>
      </c>
      <c r="B36" s="77">
        <f>VLOOKUP($B$6,'User Inputs'!$B$10:$AB$14,'User Inputs'!$O$16)</f>
        <v>0.1</v>
      </c>
      <c r="D36" s="5"/>
      <c r="I36" s="14"/>
      <c r="J36" s="14"/>
      <c r="K36" s="14"/>
    </row>
    <row r="37" spans="1:35" ht="18" customHeight="1" x14ac:dyDescent="0.2">
      <c r="A37" s="18" t="s">
        <v>140</v>
      </c>
      <c r="B37" s="77">
        <f>VLOOKUP($B$6,'User Inputs'!$B$10:$AB$14,'User Inputs'!$P$16)</f>
        <v>0.6</v>
      </c>
      <c r="I37" s="14"/>
      <c r="J37" s="14"/>
      <c r="K37" s="14"/>
    </row>
    <row r="38" spans="1:35" ht="18" customHeight="1" x14ac:dyDescent="0.2">
      <c r="A38" s="2" t="s">
        <v>214</v>
      </c>
      <c r="B38" s="114">
        <f>(VLOOKUP($B$6,'User Inputs'!$B$10:$AB$14,'User Inputs'!$Q$16)+VLOOKUP($B$6,'User Inputs'!$B$10:$AB$14,'User Inputs'!$R$16))*(SystemSize/1000000)</f>
        <v>25000</v>
      </c>
      <c r="C38" s="13" t="s">
        <v>207</v>
      </c>
      <c r="I38" s="14"/>
      <c r="J38" s="14"/>
      <c r="K38" s="14"/>
      <c r="N38" s="13"/>
      <c r="O38" s="15"/>
      <c r="P38" s="13"/>
      <c r="Q38" s="13"/>
      <c r="R38" s="5"/>
      <c r="S38" s="5"/>
      <c r="T38" s="27"/>
      <c r="U38" s="5"/>
      <c r="V38" s="5"/>
      <c r="W38" s="5"/>
    </row>
    <row r="39" spans="1:35" ht="18" customHeight="1" x14ac:dyDescent="0.2">
      <c r="I39" s="14"/>
      <c r="J39" s="14"/>
      <c r="K39" s="14"/>
      <c r="L39" s="13"/>
      <c r="M39" s="13"/>
      <c r="N39" s="13"/>
      <c r="O39" s="15"/>
      <c r="P39" s="13"/>
      <c r="Q39" s="13"/>
      <c r="R39" s="5"/>
      <c r="S39" s="5"/>
      <c r="T39" s="27"/>
      <c r="U39" s="5"/>
      <c r="V39" s="5"/>
      <c r="W39" s="5"/>
    </row>
    <row r="40" spans="1:35" ht="18" customHeight="1" x14ac:dyDescent="0.2">
      <c r="I40" s="14"/>
      <c r="J40" s="14"/>
      <c r="K40" s="14"/>
      <c r="M40" s="13"/>
      <c r="R40" s="5"/>
      <c r="S40" s="5"/>
      <c r="T40" s="27"/>
      <c r="U40" s="5"/>
      <c r="V40" s="5"/>
      <c r="W40" s="5"/>
    </row>
    <row r="41" spans="1:35" ht="18" customHeight="1" x14ac:dyDescent="0.2">
      <c r="A41" s="3"/>
      <c r="B41" s="3"/>
      <c r="C41" s="16"/>
      <c r="D41" s="13"/>
      <c r="E41" s="13"/>
      <c r="F41" s="13"/>
      <c r="G41" s="15"/>
      <c r="R41" s="5"/>
      <c r="S41" s="5"/>
      <c r="T41" s="27"/>
      <c r="U41" s="5"/>
      <c r="V41" s="5"/>
      <c r="W41" s="5"/>
    </row>
    <row r="42" spans="1:35" s="5" customFormat="1" ht="26.25" x14ac:dyDescent="0.4">
      <c r="A42" s="96" t="s">
        <v>55</v>
      </c>
      <c r="B42" s="96"/>
      <c r="C42" s="96"/>
      <c r="D42" s="96"/>
      <c r="E42" s="96"/>
      <c r="F42" s="96"/>
      <c r="G42" s="96"/>
      <c r="H42" s="96"/>
      <c r="I42" s="96"/>
      <c r="J42" s="96"/>
      <c r="K42" s="96"/>
      <c r="L42" s="96"/>
      <c r="M42" s="96"/>
      <c r="N42" s="96"/>
      <c r="O42" s="96"/>
      <c r="P42" s="97"/>
      <c r="Q42" s="97"/>
      <c r="R42" s="97"/>
      <c r="S42" s="97"/>
      <c r="T42" s="97"/>
      <c r="U42" s="97"/>
      <c r="V42" s="97"/>
      <c r="W42" s="97"/>
      <c r="X42" s="97"/>
      <c r="Y42" s="97"/>
      <c r="Z42" s="98"/>
      <c r="AA42" s="98"/>
      <c r="AB42" s="98"/>
      <c r="AC42" s="98"/>
      <c r="AD42" s="98"/>
      <c r="AE42" s="98"/>
      <c r="AF42" s="98"/>
      <c r="AG42" s="98"/>
      <c r="AH42" s="98"/>
      <c r="AI42" s="98"/>
    </row>
    <row r="43" spans="1:35" ht="18" customHeight="1" x14ac:dyDescent="0.25">
      <c r="E43" s="31" t="s">
        <v>112</v>
      </c>
      <c r="F43" s="4" t="s">
        <v>3</v>
      </c>
      <c r="G43" s="4" t="s">
        <v>3</v>
      </c>
      <c r="H43" s="4" t="s">
        <v>3</v>
      </c>
      <c r="I43" s="4" t="s">
        <v>3</v>
      </c>
      <c r="J43" s="4" t="s">
        <v>3</v>
      </c>
      <c r="K43" s="4" t="s">
        <v>3</v>
      </c>
      <c r="L43" s="4" t="s">
        <v>3</v>
      </c>
      <c r="M43" s="4" t="s">
        <v>3</v>
      </c>
      <c r="N43" s="4" t="s">
        <v>3</v>
      </c>
      <c r="O43" s="4" t="s">
        <v>3</v>
      </c>
      <c r="P43" s="4" t="s">
        <v>3</v>
      </c>
      <c r="Q43" s="4" t="s">
        <v>3</v>
      </c>
      <c r="R43" s="4" t="s">
        <v>3</v>
      </c>
      <c r="S43" s="4" t="s">
        <v>3</v>
      </c>
      <c r="T43" s="4" t="s">
        <v>3</v>
      </c>
      <c r="U43" s="4" t="s">
        <v>3</v>
      </c>
      <c r="V43" s="28" t="s">
        <v>3</v>
      </c>
      <c r="W43" s="4" t="s">
        <v>3</v>
      </c>
      <c r="X43" s="4" t="s">
        <v>3</v>
      </c>
      <c r="Y43" s="4" t="s">
        <v>3</v>
      </c>
      <c r="Z43" s="4" t="s">
        <v>3</v>
      </c>
      <c r="AA43" s="4" t="s">
        <v>3</v>
      </c>
      <c r="AB43" s="4" t="s">
        <v>3</v>
      </c>
      <c r="AC43" s="4" t="s">
        <v>3</v>
      </c>
      <c r="AD43" s="4" t="s">
        <v>3</v>
      </c>
      <c r="AE43" s="4" t="s">
        <v>3</v>
      </c>
      <c r="AF43" s="4" t="s">
        <v>3</v>
      </c>
      <c r="AG43" s="4" t="s">
        <v>3</v>
      </c>
      <c r="AH43" s="4" t="s">
        <v>3</v>
      </c>
      <c r="AI43" s="4" t="s">
        <v>3</v>
      </c>
    </row>
    <row r="44" spans="1:35" ht="18" customHeight="1" x14ac:dyDescent="0.25">
      <c r="A44" s="6" t="s">
        <v>31</v>
      </c>
      <c r="B44" s="6"/>
      <c r="C44" s="11"/>
      <c r="E44" s="38">
        <v>0</v>
      </c>
      <c r="F44" s="7">
        <v>1</v>
      </c>
      <c r="G44" s="7">
        <v>2</v>
      </c>
      <c r="H44" s="7">
        <v>3</v>
      </c>
      <c r="I44" s="7">
        <v>4</v>
      </c>
      <c r="J44" s="7">
        <v>5</v>
      </c>
      <c r="K44" s="7">
        <v>6</v>
      </c>
      <c r="L44" s="7">
        <v>7</v>
      </c>
      <c r="M44" s="7">
        <v>8</v>
      </c>
      <c r="N44" s="7">
        <v>9</v>
      </c>
      <c r="O44" s="7">
        <v>10</v>
      </c>
      <c r="P44" s="7">
        <v>11</v>
      </c>
      <c r="Q44" s="7">
        <v>12</v>
      </c>
      <c r="R44" s="7">
        <v>13</v>
      </c>
      <c r="S44" s="7">
        <v>14</v>
      </c>
      <c r="T44" s="7">
        <v>15</v>
      </c>
      <c r="U44" s="7">
        <v>16</v>
      </c>
      <c r="V44" s="29">
        <v>17</v>
      </c>
      <c r="W44" s="7">
        <v>18</v>
      </c>
      <c r="X44" s="7">
        <v>19</v>
      </c>
      <c r="Y44" s="7">
        <v>20</v>
      </c>
      <c r="Z44" s="7">
        <v>21</v>
      </c>
      <c r="AA44" s="7">
        <v>22</v>
      </c>
      <c r="AB44" s="7">
        <v>23</v>
      </c>
      <c r="AC44" s="7">
        <v>24</v>
      </c>
      <c r="AD44" s="7">
        <v>25</v>
      </c>
      <c r="AE44" s="7">
        <v>26</v>
      </c>
      <c r="AF44" s="7">
        <v>27</v>
      </c>
      <c r="AG44" s="7">
        <v>28</v>
      </c>
      <c r="AH44" s="7">
        <v>29</v>
      </c>
      <c r="AI44" s="7">
        <v>30</v>
      </c>
    </row>
    <row r="45" spans="1:35" ht="18" customHeight="1" x14ac:dyDescent="0.2">
      <c r="A45" s="86" t="s">
        <v>13</v>
      </c>
      <c r="B45" s="87"/>
      <c r="C45" s="88"/>
      <c r="D45" s="88"/>
      <c r="E45" s="88"/>
      <c r="F45" s="89">
        <f>B11*8760*CapacityFactor/1000</f>
        <v>1165080</v>
      </c>
      <c r="G45" s="89">
        <f t="shared" ref="G45:AI45" si="1">IF(G44&lt;=projectlife,F45*(1-Degredation),0)</f>
        <v>1159254.6000000001</v>
      </c>
      <c r="H45" s="89">
        <f t="shared" si="1"/>
        <v>1153458.327</v>
      </c>
      <c r="I45" s="89">
        <f t="shared" si="1"/>
        <v>1147691.0353650001</v>
      </c>
      <c r="J45" s="89">
        <f t="shared" si="1"/>
        <v>1141952.5801881752</v>
      </c>
      <c r="K45" s="89">
        <f t="shared" si="1"/>
        <v>1136242.8172872344</v>
      </c>
      <c r="L45" s="89">
        <f t="shared" si="1"/>
        <v>1130561.6032007982</v>
      </c>
      <c r="M45" s="89">
        <f t="shared" si="1"/>
        <v>1124908.7951847941</v>
      </c>
      <c r="N45" s="89">
        <f t="shared" si="1"/>
        <v>1119284.2512088702</v>
      </c>
      <c r="O45" s="89">
        <f t="shared" si="1"/>
        <v>1113687.8299528258</v>
      </c>
      <c r="P45" s="89">
        <f t="shared" si="1"/>
        <v>1108119.3908030617</v>
      </c>
      <c r="Q45" s="89">
        <f t="shared" si="1"/>
        <v>1102578.7938490463</v>
      </c>
      <c r="R45" s="89">
        <f t="shared" si="1"/>
        <v>1097065.8998798011</v>
      </c>
      <c r="S45" s="89">
        <f t="shared" si="1"/>
        <v>1091580.570380402</v>
      </c>
      <c r="T45" s="89">
        <f t="shared" si="1"/>
        <v>1086122.6675285001</v>
      </c>
      <c r="U45" s="89">
        <f t="shared" si="1"/>
        <v>1080692.0541908576</v>
      </c>
      <c r="V45" s="89">
        <f t="shared" si="1"/>
        <v>1075288.5939199033</v>
      </c>
      <c r="W45" s="89">
        <f t="shared" si="1"/>
        <v>1069912.1509503038</v>
      </c>
      <c r="X45" s="89">
        <f t="shared" si="1"/>
        <v>1064562.5901955522</v>
      </c>
      <c r="Y45" s="89">
        <f t="shared" si="1"/>
        <v>1059239.7772445744</v>
      </c>
      <c r="Z45" s="89">
        <f t="shared" si="1"/>
        <v>1053943.5783583515</v>
      </c>
      <c r="AA45" s="89">
        <f t="shared" si="1"/>
        <v>1048673.8604665597</v>
      </c>
      <c r="AB45" s="89">
        <f t="shared" si="1"/>
        <v>1043430.4911642269</v>
      </c>
      <c r="AC45" s="89">
        <f t="shared" si="1"/>
        <v>1038213.3387084057</v>
      </c>
      <c r="AD45" s="89">
        <f t="shared" si="1"/>
        <v>1033022.2720148637</v>
      </c>
      <c r="AE45" s="89">
        <f t="shared" si="1"/>
        <v>0</v>
      </c>
      <c r="AF45" s="89">
        <f t="shared" si="1"/>
        <v>0</v>
      </c>
      <c r="AG45" s="89">
        <f t="shared" si="1"/>
        <v>0</v>
      </c>
      <c r="AH45" s="89">
        <f t="shared" si="1"/>
        <v>0</v>
      </c>
      <c r="AI45" s="90">
        <f t="shared" si="1"/>
        <v>0</v>
      </c>
    </row>
    <row r="46" spans="1:35" ht="18" customHeight="1" x14ac:dyDescent="0.2">
      <c r="A46" s="2" t="s">
        <v>137</v>
      </c>
      <c r="B46" s="160"/>
      <c r="C46" s="10"/>
      <c r="E46" s="159">
        <f t="shared" ref="E46:AI46" si="2">IF($B$16=0,1,IF(E$44&lt;=$B$16,1,0))</f>
        <v>1</v>
      </c>
      <c r="F46" s="159">
        <f t="shared" si="2"/>
        <v>1</v>
      </c>
      <c r="G46" s="159">
        <f t="shared" si="2"/>
        <v>1</v>
      </c>
      <c r="H46" s="159">
        <f t="shared" si="2"/>
        <v>1</v>
      </c>
      <c r="I46" s="159">
        <f t="shared" si="2"/>
        <v>1</v>
      </c>
      <c r="J46" s="159">
        <f t="shared" si="2"/>
        <v>1</v>
      </c>
      <c r="K46" s="159">
        <f t="shared" si="2"/>
        <v>1</v>
      </c>
      <c r="L46" s="159">
        <f t="shared" si="2"/>
        <v>1</v>
      </c>
      <c r="M46" s="159">
        <f t="shared" si="2"/>
        <v>1</v>
      </c>
      <c r="N46" s="159">
        <f t="shared" si="2"/>
        <v>1</v>
      </c>
      <c r="O46" s="159">
        <f t="shared" si="2"/>
        <v>1</v>
      </c>
      <c r="P46" s="159">
        <f t="shared" si="2"/>
        <v>0</v>
      </c>
      <c r="Q46" s="159">
        <f t="shared" si="2"/>
        <v>0</v>
      </c>
      <c r="R46" s="159">
        <f t="shared" si="2"/>
        <v>0</v>
      </c>
      <c r="S46" s="159">
        <f t="shared" si="2"/>
        <v>0</v>
      </c>
      <c r="T46" s="159">
        <f t="shared" si="2"/>
        <v>0</v>
      </c>
      <c r="U46" s="159">
        <f t="shared" si="2"/>
        <v>0</v>
      </c>
      <c r="V46" s="159">
        <f t="shared" si="2"/>
        <v>0</v>
      </c>
      <c r="W46" s="159">
        <f t="shared" si="2"/>
        <v>0</v>
      </c>
      <c r="X46" s="159">
        <f t="shared" si="2"/>
        <v>0</v>
      </c>
      <c r="Y46" s="159">
        <f t="shared" si="2"/>
        <v>0</v>
      </c>
      <c r="Z46" s="159">
        <f t="shared" si="2"/>
        <v>0</v>
      </c>
      <c r="AA46" s="159">
        <f t="shared" si="2"/>
        <v>0</v>
      </c>
      <c r="AB46" s="159">
        <f t="shared" si="2"/>
        <v>0</v>
      </c>
      <c r="AC46" s="159">
        <f t="shared" si="2"/>
        <v>0</v>
      </c>
      <c r="AD46" s="159">
        <f t="shared" si="2"/>
        <v>0</v>
      </c>
      <c r="AE46" s="159">
        <f t="shared" si="2"/>
        <v>0</v>
      </c>
      <c r="AF46" s="159">
        <f t="shared" si="2"/>
        <v>0</v>
      </c>
      <c r="AG46" s="159">
        <f t="shared" si="2"/>
        <v>0</v>
      </c>
      <c r="AH46" s="159">
        <f t="shared" si="2"/>
        <v>0</v>
      </c>
      <c r="AI46" s="159">
        <f t="shared" si="2"/>
        <v>0</v>
      </c>
    </row>
    <row r="47" spans="1:35" ht="18" customHeight="1" x14ac:dyDescent="0.2">
      <c r="A47" s="2" t="s">
        <v>136</v>
      </c>
      <c r="C47" s="10"/>
      <c r="E47" s="159">
        <f>IF(E46=1,0,1)</f>
        <v>0</v>
      </c>
      <c r="F47" s="159">
        <f t="shared" ref="F47:AI47" si="3">IF(F46=1,0,1)</f>
        <v>0</v>
      </c>
      <c r="G47" s="159">
        <f t="shared" si="3"/>
        <v>0</v>
      </c>
      <c r="H47" s="159">
        <f t="shared" si="3"/>
        <v>0</v>
      </c>
      <c r="I47" s="159">
        <f t="shared" si="3"/>
        <v>0</v>
      </c>
      <c r="J47" s="159">
        <f t="shared" si="3"/>
        <v>0</v>
      </c>
      <c r="K47" s="159">
        <f t="shared" si="3"/>
        <v>0</v>
      </c>
      <c r="L47" s="159">
        <f t="shared" si="3"/>
        <v>0</v>
      </c>
      <c r="M47" s="159">
        <f t="shared" si="3"/>
        <v>0</v>
      </c>
      <c r="N47" s="159">
        <f t="shared" si="3"/>
        <v>0</v>
      </c>
      <c r="O47" s="159">
        <f t="shared" si="3"/>
        <v>0</v>
      </c>
      <c r="P47" s="159">
        <f t="shared" si="3"/>
        <v>1</v>
      </c>
      <c r="Q47" s="159">
        <f t="shared" si="3"/>
        <v>1</v>
      </c>
      <c r="R47" s="159">
        <f t="shared" si="3"/>
        <v>1</v>
      </c>
      <c r="S47" s="159">
        <f t="shared" si="3"/>
        <v>1</v>
      </c>
      <c r="T47" s="159">
        <f t="shared" si="3"/>
        <v>1</v>
      </c>
      <c r="U47" s="159">
        <f t="shared" si="3"/>
        <v>1</v>
      </c>
      <c r="V47" s="159">
        <f t="shared" si="3"/>
        <v>1</v>
      </c>
      <c r="W47" s="159">
        <f t="shared" si="3"/>
        <v>1</v>
      </c>
      <c r="X47" s="159">
        <f t="shared" si="3"/>
        <v>1</v>
      </c>
      <c r="Y47" s="159">
        <f t="shared" si="3"/>
        <v>1</v>
      </c>
      <c r="Z47" s="159">
        <f t="shared" si="3"/>
        <v>1</v>
      </c>
      <c r="AA47" s="159">
        <f t="shared" si="3"/>
        <v>1</v>
      </c>
      <c r="AB47" s="159">
        <f t="shared" si="3"/>
        <v>1</v>
      </c>
      <c r="AC47" s="159">
        <f t="shared" si="3"/>
        <v>1</v>
      </c>
      <c r="AD47" s="159">
        <f t="shared" si="3"/>
        <v>1</v>
      </c>
      <c r="AE47" s="159">
        <f t="shared" si="3"/>
        <v>1</v>
      </c>
      <c r="AF47" s="159">
        <f t="shared" si="3"/>
        <v>1</v>
      </c>
      <c r="AG47" s="159">
        <f t="shared" si="3"/>
        <v>1</v>
      </c>
      <c r="AH47" s="159">
        <f t="shared" si="3"/>
        <v>1</v>
      </c>
      <c r="AI47" s="159">
        <f t="shared" si="3"/>
        <v>1</v>
      </c>
    </row>
    <row r="48" spans="1:35" ht="21.75" customHeight="1" x14ac:dyDescent="0.3">
      <c r="A48" s="43" t="s">
        <v>68</v>
      </c>
      <c r="B48" s="43"/>
      <c r="C48" s="44"/>
      <c r="D48" s="44"/>
      <c r="E48" s="44"/>
      <c r="F48" s="48"/>
      <c r="G48" s="49"/>
      <c r="H48" s="49"/>
      <c r="I48" s="49"/>
      <c r="J48" s="49"/>
      <c r="K48" s="49"/>
      <c r="L48" s="49"/>
      <c r="M48" s="49"/>
      <c r="N48" s="49"/>
      <c r="O48" s="49"/>
      <c r="P48" s="49"/>
      <c r="Q48" s="49"/>
      <c r="R48" s="49"/>
      <c r="S48" s="49"/>
      <c r="T48" s="49"/>
      <c r="U48" s="49"/>
      <c r="V48" s="50"/>
      <c r="W48" s="49"/>
      <c r="X48" s="49"/>
      <c r="Y48" s="49"/>
      <c r="Z48" s="49"/>
      <c r="AA48" s="49"/>
      <c r="AB48" s="49"/>
      <c r="AC48" s="49"/>
      <c r="AD48" s="49"/>
      <c r="AE48" s="49"/>
      <c r="AF48" s="49"/>
      <c r="AG48" s="49"/>
      <c r="AH48" s="49"/>
      <c r="AI48" s="49"/>
    </row>
    <row r="49" spans="1:35" ht="18" customHeight="1" x14ac:dyDescent="0.25">
      <c r="A49" s="41" t="s">
        <v>52</v>
      </c>
      <c r="B49" s="41"/>
      <c r="C49" s="10"/>
      <c r="E49" s="10"/>
      <c r="F49" s="54"/>
      <c r="G49" s="19"/>
      <c r="H49" s="19"/>
      <c r="I49" s="19"/>
      <c r="J49" s="19"/>
      <c r="K49" s="19"/>
      <c r="L49" s="19"/>
      <c r="M49" s="19"/>
      <c r="N49" s="19"/>
      <c r="O49" s="19"/>
      <c r="P49" s="19"/>
      <c r="Q49" s="19"/>
      <c r="R49" s="19"/>
      <c r="S49" s="19"/>
      <c r="T49" s="19"/>
      <c r="U49" s="19"/>
      <c r="V49" s="9"/>
      <c r="W49" s="19"/>
      <c r="X49" s="19"/>
      <c r="Y49" s="19"/>
      <c r="Z49" s="19"/>
      <c r="AA49" s="19"/>
      <c r="AB49" s="19"/>
      <c r="AC49" s="19"/>
      <c r="AD49" s="19"/>
      <c r="AE49" s="19"/>
      <c r="AF49" s="19"/>
      <c r="AG49" s="19"/>
      <c r="AH49" s="19"/>
      <c r="AI49" s="19"/>
    </row>
    <row r="50" spans="1:35" ht="18" customHeight="1" x14ac:dyDescent="0.2">
      <c r="A50" s="17" t="s">
        <v>111</v>
      </c>
      <c r="B50" s="17"/>
      <c r="C50" s="10"/>
      <c r="E50" s="10"/>
      <c r="F50" s="9">
        <f t="shared" ref="F50:AI50" si="4">Generation*F$46*elecRev*(1+ElecRevAdj)^E$44</f>
        <v>174762</v>
      </c>
      <c r="G50" s="9">
        <f t="shared" si="4"/>
        <v>177365.95380000002</v>
      </c>
      <c r="H50" s="9">
        <f t="shared" si="4"/>
        <v>180008.70651162002</v>
      </c>
      <c r="I50" s="9">
        <f t="shared" si="4"/>
        <v>182690.83623864315</v>
      </c>
      <c r="J50" s="9">
        <f t="shared" si="4"/>
        <v>185412.92969859895</v>
      </c>
      <c r="K50" s="9">
        <f t="shared" si="4"/>
        <v>188175.58235110808</v>
      </c>
      <c r="L50" s="9">
        <f t="shared" si="4"/>
        <v>190979.3985281396</v>
      </c>
      <c r="M50" s="9">
        <f t="shared" si="4"/>
        <v>193824.9915662088</v>
      </c>
      <c r="N50" s="9">
        <f t="shared" si="4"/>
        <v>196712.98394054535</v>
      </c>
      <c r="O50" s="9">
        <f t="shared" si="4"/>
        <v>199644.00740125947</v>
      </c>
      <c r="P50" s="9">
        <f t="shared" si="4"/>
        <v>0</v>
      </c>
      <c r="Q50" s="9">
        <f t="shared" si="4"/>
        <v>0</v>
      </c>
      <c r="R50" s="9">
        <f t="shared" si="4"/>
        <v>0</v>
      </c>
      <c r="S50" s="9">
        <f t="shared" si="4"/>
        <v>0</v>
      </c>
      <c r="T50" s="9">
        <f t="shared" si="4"/>
        <v>0</v>
      </c>
      <c r="U50" s="9">
        <f t="shared" si="4"/>
        <v>0</v>
      </c>
      <c r="V50" s="9">
        <f t="shared" si="4"/>
        <v>0</v>
      </c>
      <c r="W50" s="9">
        <f t="shared" si="4"/>
        <v>0</v>
      </c>
      <c r="X50" s="9">
        <f t="shared" si="4"/>
        <v>0</v>
      </c>
      <c r="Y50" s="9">
        <f t="shared" si="4"/>
        <v>0</v>
      </c>
      <c r="Z50" s="9">
        <f t="shared" si="4"/>
        <v>0</v>
      </c>
      <c r="AA50" s="9">
        <f t="shared" si="4"/>
        <v>0</v>
      </c>
      <c r="AB50" s="9">
        <f t="shared" si="4"/>
        <v>0</v>
      </c>
      <c r="AC50" s="9">
        <f t="shared" si="4"/>
        <v>0</v>
      </c>
      <c r="AD50" s="9">
        <f t="shared" si="4"/>
        <v>0</v>
      </c>
      <c r="AE50" s="9">
        <f t="shared" si="4"/>
        <v>0</v>
      </c>
      <c r="AF50" s="9">
        <f t="shared" si="4"/>
        <v>0</v>
      </c>
      <c r="AG50" s="9">
        <f t="shared" si="4"/>
        <v>0</v>
      </c>
      <c r="AH50" s="9">
        <f t="shared" si="4"/>
        <v>0</v>
      </c>
      <c r="AI50" s="9">
        <f t="shared" si="4"/>
        <v>0</v>
      </c>
    </row>
    <row r="51" spans="1:35" ht="18" customHeight="1" x14ac:dyDescent="0.2">
      <c r="A51" s="17" t="s">
        <v>124</v>
      </c>
      <c r="B51" s="17"/>
      <c r="C51" s="10"/>
      <c r="E51" s="10"/>
      <c r="F51" s="9">
        <f t="shared" ref="F51:AI51" si="5">IF($B$27&gt;=F$44,Generation*F$46*$B$26,F$50)</f>
        <v>233016</v>
      </c>
      <c r="G51" s="9">
        <f t="shared" si="5"/>
        <v>231850.92000000004</v>
      </c>
      <c r="H51" s="9">
        <f t="shared" si="5"/>
        <v>230691.66540000003</v>
      </c>
      <c r="I51" s="9">
        <f t="shared" si="5"/>
        <v>229538.20707300003</v>
      </c>
      <c r="J51" s="9">
        <f t="shared" si="5"/>
        <v>228390.51603763504</v>
      </c>
      <c r="K51" s="9">
        <f t="shared" si="5"/>
        <v>227248.56345744687</v>
      </c>
      <c r="L51" s="9">
        <f t="shared" si="5"/>
        <v>226112.32064015965</v>
      </c>
      <c r="M51" s="9">
        <f t="shared" si="5"/>
        <v>224981.75903695883</v>
      </c>
      <c r="N51" s="9">
        <f t="shared" si="5"/>
        <v>223856.85024177405</v>
      </c>
      <c r="O51" s="9">
        <f t="shared" si="5"/>
        <v>222737.56599056517</v>
      </c>
      <c r="P51" s="9">
        <f t="shared" si="5"/>
        <v>0</v>
      </c>
      <c r="Q51" s="9">
        <f t="shared" si="5"/>
        <v>0</v>
      </c>
      <c r="R51" s="9">
        <f t="shared" si="5"/>
        <v>0</v>
      </c>
      <c r="S51" s="9">
        <f t="shared" si="5"/>
        <v>0</v>
      </c>
      <c r="T51" s="9">
        <f t="shared" si="5"/>
        <v>0</v>
      </c>
      <c r="U51" s="9">
        <f t="shared" si="5"/>
        <v>0</v>
      </c>
      <c r="V51" s="9">
        <f t="shared" si="5"/>
        <v>0</v>
      </c>
      <c r="W51" s="9">
        <f t="shared" si="5"/>
        <v>0</v>
      </c>
      <c r="X51" s="9">
        <f t="shared" si="5"/>
        <v>0</v>
      </c>
      <c r="Y51" s="9">
        <f t="shared" si="5"/>
        <v>0</v>
      </c>
      <c r="Z51" s="9">
        <f t="shared" si="5"/>
        <v>0</v>
      </c>
      <c r="AA51" s="9">
        <f t="shared" si="5"/>
        <v>0</v>
      </c>
      <c r="AB51" s="9">
        <f t="shared" si="5"/>
        <v>0</v>
      </c>
      <c r="AC51" s="9">
        <f t="shared" si="5"/>
        <v>0</v>
      </c>
      <c r="AD51" s="9">
        <f t="shared" si="5"/>
        <v>0</v>
      </c>
      <c r="AE51" s="9">
        <f t="shared" si="5"/>
        <v>0</v>
      </c>
      <c r="AF51" s="9">
        <f t="shared" si="5"/>
        <v>0</v>
      </c>
      <c r="AG51" s="9">
        <f t="shared" si="5"/>
        <v>0</v>
      </c>
      <c r="AH51" s="9">
        <f t="shared" si="5"/>
        <v>0</v>
      </c>
      <c r="AI51" s="9">
        <f t="shared" si="5"/>
        <v>0</v>
      </c>
    </row>
    <row r="52" spans="1:35" ht="18" customHeight="1" x14ac:dyDescent="0.2">
      <c r="A52" s="18" t="s">
        <v>15</v>
      </c>
      <c r="B52" s="18"/>
      <c r="C52" s="68"/>
      <c r="E52" s="10"/>
      <c r="F52" s="10">
        <f t="shared" ref="F52:AI52" si="6">IF(F$44&gt;$B$27,$B$28*F$46*F$45/1000,0)</f>
        <v>0</v>
      </c>
      <c r="G52" s="10">
        <f t="shared" si="6"/>
        <v>0</v>
      </c>
      <c r="H52" s="10">
        <f t="shared" si="6"/>
        <v>0</v>
      </c>
      <c r="I52" s="10">
        <f t="shared" si="6"/>
        <v>0</v>
      </c>
      <c r="J52" s="10">
        <f t="shared" si="6"/>
        <v>0</v>
      </c>
      <c r="K52" s="10">
        <f t="shared" si="6"/>
        <v>0</v>
      </c>
      <c r="L52" s="10">
        <f t="shared" si="6"/>
        <v>0</v>
      </c>
      <c r="M52" s="10">
        <f t="shared" si="6"/>
        <v>0</v>
      </c>
      <c r="N52" s="10">
        <f t="shared" si="6"/>
        <v>0</v>
      </c>
      <c r="O52" s="10">
        <f t="shared" si="6"/>
        <v>0</v>
      </c>
      <c r="P52" s="10">
        <f t="shared" si="6"/>
        <v>0</v>
      </c>
      <c r="Q52" s="10">
        <f t="shared" si="6"/>
        <v>0</v>
      </c>
      <c r="R52" s="10">
        <f t="shared" si="6"/>
        <v>0</v>
      </c>
      <c r="S52" s="10">
        <f t="shared" si="6"/>
        <v>0</v>
      </c>
      <c r="T52" s="10">
        <f t="shared" si="6"/>
        <v>0</v>
      </c>
      <c r="U52" s="10">
        <f t="shared" si="6"/>
        <v>0</v>
      </c>
      <c r="V52" s="10">
        <f t="shared" si="6"/>
        <v>0</v>
      </c>
      <c r="W52" s="10">
        <f t="shared" si="6"/>
        <v>0</v>
      </c>
      <c r="X52" s="10">
        <f t="shared" si="6"/>
        <v>0</v>
      </c>
      <c r="Y52" s="10">
        <f t="shared" si="6"/>
        <v>0</v>
      </c>
      <c r="Z52" s="10">
        <f t="shared" si="6"/>
        <v>0</v>
      </c>
      <c r="AA52" s="10">
        <f t="shared" si="6"/>
        <v>0</v>
      </c>
      <c r="AB52" s="10">
        <f t="shared" si="6"/>
        <v>0</v>
      </c>
      <c r="AC52" s="10">
        <f t="shared" si="6"/>
        <v>0</v>
      </c>
      <c r="AD52" s="10">
        <f t="shared" si="6"/>
        <v>0</v>
      </c>
      <c r="AE52" s="10">
        <f t="shared" si="6"/>
        <v>0</v>
      </c>
      <c r="AF52" s="10">
        <f t="shared" si="6"/>
        <v>0</v>
      </c>
      <c r="AG52" s="10">
        <f t="shared" si="6"/>
        <v>0</v>
      </c>
      <c r="AH52" s="10">
        <f t="shared" si="6"/>
        <v>0</v>
      </c>
      <c r="AI52" s="10">
        <f t="shared" si="6"/>
        <v>0</v>
      </c>
    </row>
    <row r="53" spans="1:35" ht="18" customHeight="1" x14ac:dyDescent="0.2">
      <c r="A53" s="17" t="s">
        <v>97</v>
      </c>
      <c r="B53" s="17"/>
      <c r="C53" s="10"/>
      <c r="E53" s="10"/>
      <c r="F53" s="9">
        <f t="shared" ref="F53:AI53" si="7">-($B$36*F50)*F$46</f>
        <v>-17476.2</v>
      </c>
      <c r="G53" s="9">
        <f t="shared" si="7"/>
        <v>-17736.595380000002</v>
      </c>
      <c r="H53" s="9">
        <f t="shared" si="7"/>
        <v>-18000.870651162004</v>
      </c>
      <c r="I53" s="9">
        <f t="shared" si="7"/>
        <v>-18269.083623864317</v>
      </c>
      <c r="J53" s="9">
        <f t="shared" si="7"/>
        <v>-18541.292969859896</v>
      </c>
      <c r="K53" s="9">
        <f t="shared" si="7"/>
        <v>-18817.55823511081</v>
      </c>
      <c r="L53" s="9">
        <f t="shared" si="7"/>
        <v>-19097.939852813961</v>
      </c>
      <c r="M53" s="9">
        <f t="shared" si="7"/>
        <v>-19382.499156620881</v>
      </c>
      <c r="N53" s="9">
        <f t="shared" si="7"/>
        <v>-19671.298394054538</v>
      </c>
      <c r="O53" s="9">
        <f t="shared" si="7"/>
        <v>-19964.400740125948</v>
      </c>
      <c r="P53" s="9">
        <f t="shared" si="7"/>
        <v>0</v>
      </c>
      <c r="Q53" s="9">
        <f t="shared" si="7"/>
        <v>0</v>
      </c>
      <c r="R53" s="9">
        <f t="shared" si="7"/>
        <v>0</v>
      </c>
      <c r="S53" s="9">
        <f t="shared" si="7"/>
        <v>0</v>
      </c>
      <c r="T53" s="9">
        <f t="shared" si="7"/>
        <v>0</v>
      </c>
      <c r="U53" s="9">
        <f t="shared" si="7"/>
        <v>0</v>
      </c>
      <c r="V53" s="9">
        <f t="shared" si="7"/>
        <v>0</v>
      </c>
      <c r="W53" s="9">
        <f t="shared" si="7"/>
        <v>0</v>
      </c>
      <c r="X53" s="9">
        <f t="shared" si="7"/>
        <v>0</v>
      </c>
      <c r="Y53" s="9">
        <f t="shared" si="7"/>
        <v>0</v>
      </c>
      <c r="Z53" s="9">
        <f t="shared" si="7"/>
        <v>0</v>
      </c>
      <c r="AA53" s="9">
        <f t="shared" si="7"/>
        <v>0</v>
      </c>
      <c r="AB53" s="9">
        <f t="shared" si="7"/>
        <v>0</v>
      </c>
      <c r="AC53" s="9">
        <f t="shared" si="7"/>
        <v>0</v>
      </c>
      <c r="AD53" s="9">
        <f t="shared" si="7"/>
        <v>0</v>
      </c>
      <c r="AE53" s="9">
        <f t="shared" si="7"/>
        <v>0</v>
      </c>
      <c r="AF53" s="9">
        <f t="shared" si="7"/>
        <v>0</v>
      </c>
      <c r="AG53" s="9">
        <f t="shared" si="7"/>
        <v>0</v>
      </c>
      <c r="AH53" s="9">
        <f t="shared" si="7"/>
        <v>0</v>
      </c>
      <c r="AI53" s="9">
        <f t="shared" si="7"/>
        <v>0</v>
      </c>
    </row>
    <row r="54" spans="1:35" ht="18" customHeight="1" x14ac:dyDescent="0.2">
      <c r="A54" s="2" t="s">
        <v>108</v>
      </c>
      <c r="B54" s="17"/>
      <c r="C54" s="10"/>
      <c r="E54" s="9"/>
      <c r="F54" s="9">
        <f t="shared" ref="F54:AI54" si="8">IF(F$44&lt;=projectlife,-$B$38*F$46,0)</f>
        <v>-25000</v>
      </c>
      <c r="G54" s="9">
        <f t="shared" si="8"/>
        <v>-25000</v>
      </c>
      <c r="H54" s="9">
        <f t="shared" si="8"/>
        <v>-25000</v>
      </c>
      <c r="I54" s="9">
        <f t="shared" si="8"/>
        <v>-25000</v>
      </c>
      <c r="J54" s="9">
        <f t="shared" si="8"/>
        <v>-25000</v>
      </c>
      <c r="K54" s="9">
        <f t="shared" si="8"/>
        <v>-25000</v>
      </c>
      <c r="L54" s="9">
        <f t="shared" si="8"/>
        <v>-25000</v>
      </c>
      <c r="M54" s="9">
        <f t="shared" si="8"/>
        <v>-25000</v>
      </c>
      <c r="N54" s="9">
        <f t="shared" si="8"/>
        <v>-25000</v>
      </c>
      <c r="O54" s="9">
        <f t="shared" si="8"/>
        <v>-25000</v>
      </c>
      <c r="P54" s="9">
        <f t="shared" si="8"/>
        <v>0</v>
      </c>
      <c r="Q54" s="9">
        <f t="shared" si="8"/>
        <v>0</v>
      </c>
      <c r="R54" s="9">
        <f t="shared" si="8"/>
        <v>0</v>
      </c>
      <c r="S54" s="9">
        <f t="shared" si="8"/>
        <v>0</v>
      </c>
      <c r="T54" s="9">
        <f t="shared" si="8"/>
        <v>0</v>
      </c>
      <c r="U54" s="9">
        <f t="shared" si="8"/>
        <v>0</v>
      </c>
      <c r="V54" s="9">
        <f t="shared" si="8"/>
        <v>0</v>
      </c>
      <c r="W54" s="9">
        <f t="shared" si="8"/>
        <v>0</v>
      </c>
      <c r="X54" s="9">
        <f t="shared" si="8"/>
        <v>0</v>
      </c>
      <c r="Y54" s="9">
        <f t="shared" si="8"/>
        <v>0</v>
      </c>
      <c r="Z54" s="9">
        <f t="shared" si="8"/>
        <v>0</v>
      </c>
      <c r="AA54" s="9">
        <f t="shared" si="8"/>
        <v>0</v>
      </c>
      <c r="AB54" s="9">
        <f t="shared" si="8"/>
        <v>0</v>
      </c>
      <c r="AC54" s="9">
        <f t="shared" si="8"/>
        <v>0</v>
      </c>
      <c r="AD54" s="9">
        <f t="shared" si="8"/>
        <v>0</v>
      </c>
      <c r="AE54" s="9">
        <f t="shared" si="8"/>
        <v>0</v>
      </c>
      <c r="AF54" s="9">
        <f t="shared" si="8"/>
        <v>0</v>
      </c>
      <c r="AG54" s="9">
        <f t="shared" si="8"/>
        <v>0</v>
      </c>
      <c r="AH54" s="9">
        <f t="shared" si="8"/>
        <v>0</v>
      </c>
      <c r="AI54" s="9">
        <f t="shared" si="8"/>
        <v>0</v>
      </c>
    </row>
    <row r="55" spans="1:35" ht="18" customHeight="1" x14ac:dyDescent="0.2">
      <c r="A55" s="37" t="s">
        <v>98</v>
      </c>
      <c r="B55" s="37"/>
      <c r="C55" s="10"/>
      <c r="E55" s="10">
        <f t="shared" ref="E55:AI55" si="9">SUM(E51:E54)</f>
        <v>0</v>
      </c>
      <c r="F55" s="10">
        <f t="shared" si="9"/>
        <v>190539.8</v>
      </c>
      <c r="G55" s="10">
        <f t="shared" si="9"/>
        <v>189114.32462000003</v>
      </c>
      <c r="H55" s="10">
        <f t="shared" si="9"/>
        <v>187690.79474883803</v>
      </c>
      <c r="I55" s="10">
        <f t="shared" si="9"/>
        <v>186269.12344913572</v>
      </c>
      <c r="J55" s="10">
        <f t="shared" si="9"/>
        <v>184849.22306777514</v>
      </c>
      <c r="K55" s="10">
        <f t="shared" si="9"/>
        <v>183431.00522233607</v>
      </c>
      <c r="L55" s="10">
        <f t="shared" si="9"/>
        <v>182014.3807873457</v>
      </c>
      <c r="M55" s="10">
        <f t="shared" si="9"/>
        <v>180599.25988033795</v>
      </c>
      <c r="N55" s="10">
        <f t="shared" si="9"/>
        <v>179185.55184771953</v>
      </c>
      <c r="O55" s="10">
        <f t="shared" si="9"/>
        <v>177773.16525043923</v>
      </c>
      <c r="P55" s="10">
        <f t="shared" si="9"/>
        <v>0</v>
      </c>
      <c r="Q55" s="10">
        <f t="shared" si="9"/>
        <v>0</v>
      </c>
      <c r="R55" s="10">
        <f t="shared" si="9"/>
        <v>0</v>
      </c>
      <c r="S55" s="10">
        <f t="shared" si="9"/>
        <v>0</v>
      </c>
      <c r="T55" s="10">
        <f t="shared" si="9"/>
        <v>0</v>
      </c>
      <c r="U55" s="10">
        <f t="shared" si="9"/>
        <v>0</v>
      </c>
      <c r="V55" s="10">
        <f t="shared" si="9"/>
        <v>0</v>
      </c>
      <c r="W55" s="10">
        <f t="shared" si="9"/>
        <v>0</v>
      </c>
      <c r="X55" s="10">
        <f t="shared" si="9"/>
        <v>0</v>
      </c>
      <c r="Y55" s="10">
        <f t="shared" si="9"/>
        <v>0</v>
      </c>
      <c r="Z55" s="10">
        <f t="shared" si="9"/>
        <v>0</v>
      </c>
      <c r="AA55" s="10">
        <f t="shared" si="9"/>
        <v>0</v>
      </c>
      <c r="AB55" s="10">
        <f t="shared" si="9"/>
        <v>0</v>
      </c>
      <c r="AC55" s="10">
        <f t="shared" si="9"/>
        <v>0</v>
      </c>
      <c r="AD55" s="10">
        <f t="shared" si="9"/>
        <v>0</v>
      </c>
      <c r="AE55" s="10">
        <f t="shared" si="9"/>
        <v>0</v>
      </c>
      <c r="AF55" s="10">
        <f t="shared" si="9"/>
        <v>0</v>
      </c>
      <c r="AG55" s="10">
        <f t="shared" si="9"/>
        <v>0</v>
      </c>
      <c r="AH55" s="10">
        <f t="shared" si="9"/>
        <v>0</v>
      </c>
      <c r="AI55" s="10">
        <f t="shared" si="9"/>
        <v>0</v>
      </c>
    </row>
    <row r="56" spans="1:35" ht="18" customHeight="1" x14ac:dyDescent="0.2">
      <c r="A56" s="17" t="s">
        <v>32</v>
      </c>
      <c r="B56" s="17"/>
      <c r="C56" s="10"/>
      <c r="E56" s="10"/>
      <c r="F56" s="10">
        <f t="shared" ref="F56:AI56" si="10">IF(ProjectYear&lt;=projectlife,-OpCost_Yr*F$46*(1+OpCostAdj_Yr)^(ProjectYear-1),0)</f>
        <v>-10000</v>
      </c>
      <c r="G56" s="10">
        <f t="shared" si="10"/>
        <v>-10250</v>
      </c>
      <c r="H56" s="10">
        <f t="shared" si="10"/>
        <v>-10506.25</v>
      </c>
      <c r="I56" s="10">
        <f t="shared" si="10"/>
        <v>-10768.906249999998</v>
      </c>
      <c r="J56" s="10">
        <f t="shared" si="10"/>
        <v>-11038.128906249998</v>
      </c>
      <c r="K56" s="10">
        <f t="shared" si="10"/>
        <v>-11314.082128906246</v>
      </c>
      <c r="L56" s="10">
        <f t="shared" si="10"/>
        <v>-11596.934182128902</v>
      </c>
      <c r="M56" s="10">
        <f t="shared" si="10"/>
        <v>-11886.857536682124</v>
      </c>
      <c r="N56" s="10">
        <f t="shared" si="10"/>
        <v>-12184.028975099178</v>
      </c>
      <c r="O56" s="10">
        <f t="shared" si="10"/>
        <v>-12488.629699476654</v>
      </c>
      <c r="P56" s="10">
        <f t="shared" si="10"/>
        <v>0</v>
      </c>
      <c r="Q56" s="10">
        <f t="shared" si="10"/>
        <v>0</v>
      </c>
      <c r="R56" s="10">
        <f t="shared" si="10"/>
        <v>0</v>
      </c>
      <c r="S56" s="10">
        <f t="shared" si="10"/>
        <v>0</v>
      </c>
      <c r="T56" s="10">
        <f t="shared" si="10"/>
        <v>0</v>
      </c>
      <c r="U56" s="10">
        <f t="shared" si="10"/>
        <v>0</v>
      </c>
      <c r="V56" s="10">
        <f t="shared" si="10"/>
        <v>0</v>
      </c>
      <c r="W56" s="10">
        <f t="shared" si="10"/>
        <v>0</v>
      </c>
      <c r="X56" s="10">
        <f t="shared" si="10"/>
        <v>0</v>
      </c>
      <c r="Y56" s="10">
        <f t="shared" si="10"/>
        <v>0</v>
      </c>
      <c r="Z56" s="10">
        <f t="shared" si="10"/>
        <v>0</v>
      </c>
      <c r="AA56" s="10">
        <f t="shared" si="10"/>
        <v>0</v>
      </c>
      <c r="AB56" s="10">
        <f t="shared" si="10"/>
        <v>0</v>
      </c>
      <c r="AC56" s="10">
        <f t="shared" si="10"/>
        <v>0</v>
      </c>
      <c r="AD56" s="10">
        <f t="shared" si="10"/>
        <v>0</v>
      </c>
      <c r="AE56" s="10">
        <f t="shared" si="10"/>
        <v>0</v>
      </c>
      <c r="AF56" s="10">
        <f t="shared" si="10"/>
        <v>0</v>
      </c>
      <c r="AG56" s="10">
        <f t="shared" si="10"/>
        <v>0</v>
      </c>
      <c r="AH56" s="10">
        <f t="shared" si="10"/>
        <v>0</v>
      </c>
      <c r="AI56" s="10">
        <f t="shared" si="10"/>
        <v>0</v>
      </c>
    </row>
    <row r="57" spans="1:35" ht="18" customHeight="1" x14ac:dyDescent="0.2">
      <c r="A57" s="18" t="s">
        <v>30</v>
      </c>
      <c r="B57" s="18"/>
      <c r="C57" s="10"/>
      <c r="E57" s="10"/>
      <c r="F57" s="10">
        <f t="shared" ref="F57:AI57" si="11">IF(ProjectYear&lt;=projectlife,IF(F$44/ReplaceInverterYear=ROUND(F$44/ReplaceInverterYear,0),-InverterReplaceCost*SystemSize*F$46,0),0)</f>
        <v>0</v>
      </c>
      <c r="G57" s="10">
        <f t="shared" si="11"/>
        <v>0</v>
      </c>
      <c r="H57" s="10">
        <f t="shared" si="11"/>
        <v>0</v>
      </c>
      <c r="I57" s="10">
        <f t="shared" si="11"/>
        <v>0</v>
      </c>
      <c r="J57" s="10">
        <f t="shared" si="11"/>
        <v>0</v>
      </c>
      <c r="K57" s="10">
        <f t="shared" si="11"/>
        <v>0</v>
      </c>
      <c r="L57" s="10">
        <f t="shared" si="11"/>
        <v>0</v>
      </c>
      <c r="M57" s="10">
        <f t="shared" si="11"/>
        <v>0</v>
      </c>
      <c r="N57" s="10">
        <f t="shared" si="11"/>
        <v>0</v>
      </c>
      <c r="O57" s="10">
        <f t="shared" si="11"/>
        <v>-70000</v>
      </c>
      <c r="P57" s="10">
        <f t="shared" si="11"/>
        <v>0</v>
      </c>
      <c r="Q57" s="10">
        <f t="shared" si="11"/>
        <v>0</v>
      </c>
      <c r="R57" s="10">
        <f t="shared" si="11"/>
        <v>0</v>
      </c>
      <c r="S57" s="10">
        <f t="shared" si="11"/>
        <v>0</v>
      </c>
      <c r="T57" s="10">
        <f t="shared" si="11"/>
        <v>0</v>
      </c>
      <c r="U57" s="10">
        <f t="shared" si="11"/>
        <v>0</v>
      </c>
      <c r="V57" s="10">
        <f t="shared" si="11"/>
        <v>0</v>
      </c>
      <c r="W57" s="10">
        <f t="shared" si="11"/>
        <v>0</v>
      </c>
      <c r="X57" s="10">
        <f t="shared" si="11"/>
        <v>0</v>
      </c>
      <c r="Y57" s="10">
        <f t="shared" si="11"/>
        <v>0</v>
      </c>
      <c r="Z57" s="10">
        <f t="shared" si="11"/>
        <v>0</v>
      </c>
      <c r="AA57" s="10">
        <f t="shared" si="11"/>
        <v>0</v>
      </c>
      <c r="AB57" s="10">
        <f t="shared" si="11"/>
        <v>0</v>
      </c>
      <c r="AC57" s="10">
        <f t="shared" si="11"/>
        <v>0</v>
      </c>
      <c r="AD57" s="10">
        <f t="shared" si="11"/>
        <v>0</v>
      </c>
      <c r="AE57" s="10">
        <f t="shared" si="11"/>
        <v>0</v>
      </c>
      <c r="AF57" s="10">
        <f t="shared" si="11"/>
        <v>0</v>
      </c>
      <c r="AG57" s="10">
        <f t="shared" si="11"/>
        <v>0</v>
      </c>
      <c r="AH57" s="10">
        <f t="shared" si="11"/>
        <v>0</v>
      </c>
      <c r="AI57" s="10">
        <f t="shared" si="11"/>
        <v>0</v>
      </c>
    </row>
    <row r="58" spans="1:35" ht="18" customHeight="1" x14ac:dyDescent="0.2">
      <c r="A58" s="37" t="s">
        <v>33</v>
      </c>
      <c r="B58" s="37"/>
      <c r="C58" s="10"/>
      <c r="E58" s="10">
        <f>E56+E57</f>
        <v>0</v>
      </c>
      <c r="F58" s="10">
        <f>F56+F57</f>
        <v>-10000</v>
      </c>
      <c r="G58" s="10">
        <f t="shared" ref="G58:AI58" si="12">G56+G57</f>
        <v>-10250</v>
      </c>
      <c r="H58" s="10">
        <f t="shared" si="12"/>
        <v>-10506.25</v>
      </c>
      <c r="I58" s="10">
        <f t="shared" si="12"/>
        <v>-10768.906249999998</v>
      </c>
      <c r="J58" s="10">
        <f t="shared" si="12"/>
        <v>-11038.128906249998</v>
      </c>
      <c r="K58" s="10">
        <f t="shared" si="12"/>
        <v>-11314.082128906246</v>
      </c>
      <c r="L58" s="10">
        <f t="shared" si="12"/>
        <v>-11596.934182128902</v>
      </c>
      <c r="M58" s="10">
        <f t="shared" si="12"/>
        <v>-11886.857536682124</v>
      </c>
      <c r="N58" s="10">
        <f t="shared" si="12"/>
        <v>-12184.028975099178</v>
      </c>
      <c r="O58" s="10">
        <f t="shared" si="12"/>
        <v>-82488.62969947666</v>
      </c>
      <c r="P58" s="10">
        <f t="shared" si="12"/>
        <v>0</v>
      </c>
      <c r="Q58" s="10">
        <f t="shared" si="12"/>
        <v>0</v>
      </c>
      <c r="R58" s="10">
        <f t="shared" si="12"/>
        <v>0</v>
      </c>
      <c r="S58" s="10">
        <f t="shared" si="12"/>
        <v>0</v>
      </c>
      <c r="T58" s="10">
        <f t="shared" si="12"/>
        <v>0</v>
      </c>
      <c r="U58" s="10">
        <f t="shared" si="12"/>
        <v>0</v>
      </c>
      <c r="V58" s="10">
        <f t="shared" si="12"/>
        <v>0</v>
      </c>
      <c r="W58" s="10">
        <f t="shared" si="12"/>
        <v>0</v>
      </c>
      <c r="X58" s="10">
        <f t="shared" si="12"/>
        <v>0</v>
      </c>
      <c r="Y58" s="10">
        <f t="shared" si="12"/>
        <v>0</v>
      </c>
      <c r="Z58" s="10">
        <f t="shared" si="12"/>
        <v>0</v>
      </c>
      <c r="AA58" s="10">
        <f t="shared" si="12"/>
        <v>0</v>
      </c>
      <c r="AB58" s="10">
        <f t="shared" si="12"/>
        <v>0</v>
      </c>
      <c r="AC58" s="10">
        <f t="shared" si="12"/>
        <v>0</v>
      </c>
      <c r="AD58" s="10">
        <f t="shared" si="12"/>
        <v>0</v>
      </c>
      <c r="AE58" s="10">
        <f t="shared" si="12"/>
        <v>0</v>
      </c>
      <c r="AF58" s="10">
        <f t="shared" si="12"/>
        <v>0</v>
      </c>
      <c r="AG58" s="10">
        <f t="shared" si="12"/>
        <v>0</v>
      </c>
      <c r="AH58" s="10">
        <f t="shared" si="12"/>
        <v>0</v>
      </c>
      <c r="AI58" s="10">
        <f t="shared" si="12"/>
        <v>0</v>
      </c>
    </row>
    <row r="59" spans="1:35" ht="18" customHeight="1" x14ac:dyDescent="0.2">
      <c r="A59" s="81" t="s">
        <v>99</v>
      </c>
      <c r="B59" s="81" t="s">
        <v>35</v>
      </c>
      <c r="C59" s="10"/>
      <c r="E59" s="10">
        <f t="shared" ref="E59:AI59" si="13">E55+E58</f>
        <v>0</v>
      </c>
      <c r="F59" s="10">
        <f t="shared" si="13"/>
        <v>180539.8</v>
      </c>
      <c r="G59" s="10">
        <f t="shared" si="13"/>
        <v>178864.32462000003</v>
      </c>
      <c r="H59" s="10">
        <f>H55+H58</f>
        <v>177184.54474883803</v>
      </c>
      <c r="I59" s="10">
        <f t="shared" si="13"/>
        <v>175500.21719913572</v>
      </c>
      <c r="J59" s="10">
        <f t="shared" si="13"/>
        <v>173811.09416152514</v>
      </c>
      <c r="K59" s="10">
        <f t="shared" si="13"/>
        <v>172116.92309342982</v>
      </c>
      <c r="L59" s="10">
        <f t="shared" si="13"/>
        <v>170417.4466052168</v>
      </c>
      <c r="M59" s="10">
        <f t="shared" si="13"/>
        <v>168712.40234365582</v>
      </c>
      <c r="N59" s="10">
        <f t="shared" si="13"/>
        <v>167001.52287262035</v>
      </c>
      <c r="O59" s="10">
        <f t="shared" si="13"/>
        <v>95284.535550962566</v>
      </c>
      <c r="P59" s="10">
        <f t="shared" si="13"/>
        <v>0</v>
      </c>
      <c r="Q59" s="10">
        <f t="shared" si="13"/>
        <v>0</v>
      </c>
      <c r="R59" s="10">
        <f t="shared" si="13"/>
        <v>0</v>
      </c>
      <c r="S59" s="10">
        <f t="shared" si="13"/>
        <v>0</v>
      </c>
      <c r="T59" s="10">
        <f t="shared" si="13"/>
        <v>0</v>
      </c>
      <c r="U59" s="10">
        <f t="shared" si="13"/>
        <v>0</v>
      </c>
      <c r="V59" s="10">
        <f t="shared" si="13"/>
        <v>0</v>
      </c>
      <c r="W59" s="10">
        <f t="shared" si="13"/>
        <v>0</v>
      </c>
      <c r="X59" s="10">
        <f t="shared" si="13"/>
        <v>0</v>
      </c>
      <c r="Y59" s="10">
        <f t="shared" si="13"/>
        <v>0</v>
      </c>
      <c r="Z59" s="10">
        <f t="shared" si="13"/>
        <v>0</v>
      </c>
      <c r="AA59" s="10">
        <f t="shared" si="13"/>
        <v>0</v>
      </c>
      <c r="AB59" s="10">
        <f t="shared" si="13"/>
        <v>0</v>
      </c>
      <c r="AC59" s="10">
        <f t="shared" si="13"/>
        <v>0</v>
      </c>
      <c r="AD59" s="10">
        <f t="shared" si="13"/>
        <v>0</v>
      </c>
      <c r="AE59" s="10">
        <f t="shared" si="13"/>
        <v>0</v>
      </c>
      <c r="AF59" s="10">
        <f t="shared" si="13"/>
        <v>0</v>
      </c>
      <c r="AG59" s="10">
        <f t="shared" si="13"/>
        <v>0</v>
      </c>
      <c r="AH59" s="10">
        <f t="shared" si="13"/>
        <v>0</v>
      </c>
      <c r="AI59" s="10">
        <f t="shared" si="13"/>
        <v>0</v>
      </c>
    </row>
    <row r="60" spans="1:35" s="5" customFormat="1" ht="18" customHeight="1" x14ac:dyDescent="0.2">
      <c r="A60" s="46" t="s">
        <v>56</v>
      </c>
      <c r="B60" s="46"/>
      <c r="C60" s="56"/>
      <c r="E60" s="56"/>
      <c r="F60" s="56">
        <f>IF($B$9="Non-Taxable",0,-(AssetBasis)*F$46*DEP_01)</f>
        <v>-365400</v>
      </c>
      <c r="G60" s="56">
        <f>IF($B$9="Non-Taxable",0,-(AssetBasis)*G$46*Dep_02)</f>
        <v>-584640</v>
      </c>
      <c r="H60" s="56">
        <f>IF($B$9="Non-Taxable",0,-(AssetBasis)*H$46*Dep_03)</f>
        <v>-350784</v>
      </c>
      <c r="I60" s="56">
        <f>IF($B$9="Non-Taxable",0,-(AssetBasis)*I$46*DEP_04)</f>
        <v>-210470.39999999999</v>
      </c>
      <c r="J60" s="56">
        <f>IF($B$9="Non-Taxable",0,-(AssetBasis)*J$46*DEP_05)</f>
        <v>-210470.39999999999</v>
      </c>
      <c r="K60" s="56">
        <f>IF($B$9="Non-Taxable",0,-(AssetBasis)*K$46*DEP_06)</f>
        <v>-105235.2</v>
      </c>
      <c r="L60" s="56">
        <f>IF($B$9="Non-Taxable",0,-(AssetBasis)*L$46*DEP_07)</f>
        <v>0</v>
      </c>
      <c r="M60" s="56">
        <f>IF($B$9="Non-Taxable",0,-(AssetBasis)*M$46*DEP_08)</f>
        <v>0</v>
      </c>
      <c r="N60" s="56">
        <f>IF($B$9="Non-Taxable",0,-(AssetBasis)*N$46*DEP_09)</f>
        <v>0</v>
      </c>
      <c r="O60" s="56">
        <f>IF($B$9="Non-Taxable",0,-(AssetBasis)*O$46*DEP_10)</f>
        <v>0</v>
      </c>
      <c r="P60" s="56">
        <f>IF($B$9="Non-Taxable",0,-(AssetBasis)*P$46*DEP_11)</f>
        <v>0</v>
      </c>
      <c r="Q60" s="56">
        <f>IF($B$9="Non-Taxable",0,-(AssetBasis)*Q$46*DEP_12)</f>
        <v>0</v>
      </c>
      <c r="R60" s="56">
        <f>IF($B$9="Non-Taxable",0,-(AssetBasis)*R$46*DEP_13)</f>
        <v>0</v>
      </c>
      <c r="S60" s="56">
        <f>IF($B$9="Non-Taxable",0,-(AssetBasis)*S$46*DEP_14)</f>
        <v>0</v>
      </c>
      <c r="T60" s="56">
        <f>IF($B$9="Non-Taxable",0,-(AssetBasis)*T$46*DEP_15)</f>
        <v>0</v>
      </c>
      <c r="U60" s="56">
        <f>IF($B$9="Non-Taxable",0,-(AssetBasis)*U$46*DEP_16)</f>
        <v>0</v>
      </c>
      <c r="V60" s="56">
        <f>IF($B$9="Non-Taxable",0,-(AssetBasis)*V$46*DEP_17)</f>
        <v>0</v>
      </c>
      <c r="W60" s="56">
        <f>IF($B$9="Non-Taxable",0,-(AssetBasis)*W$46*DEP_18)</f>
        <v>0</v>
      </c>
      <c r="X60" s="56">
        <f>IF($B$9="Non-Taxable",0,-(AssetBasis)*X$46*DEP_19)</f>
        <v>0</v>
      </c>
      <c r="Y60" s="56">
        <f>IF($B$9="Non-Taxable",0,-(AssetBasis)*Y$46*DEP_20)</f>
        <v>0</v>
      </c>
      <c r="Z60" s="56">
        <f>IF($B$9="Non-Taxable",0,-(AssetBasis)*Z$46*DEP_21)</f>
        <v>0</v>
      </c>
      <c r="AA60" s="56">
        <f>IF($B$9="Non-Taxable",0,-(AssetBasis)*AA$46*DEP_22)</f>
        <v>0</v>
      </c>
      <c r="AB60" s="56">
        <f>IF($B$9="Non-Taxable",0,-(AssetBasis)*AB$46*DEP_23)</f>
        <v>0</v>
      </c>
      <c r="AC60" s="56">
        <f>IF($B$9="Non-Taxable",0,-(AssetBasis)*AC$46*DEP_24)</f>
        <v>0</v>
      </c>
      <c r="AD60" s="56">
        <f>IF($B$9="Non-Taxable",0,-(AssetBasis)*AD$46*DEP_25)</f>
        <v>0</v>
      </c>
      <c r="AE60" s="56">
        <f>IF($B$9="Non-Taxable",0,-(AssetBasis)*AE$46*DEP_26)</f>
        <v>0</v>
      </c>
      <c r="AF60" s="56">
        <f>IF($B$9="Non-Taxable",0,-(AssetBasis)*AF$46*DEP_27)</f>
        <v>0</v>
      </c>
      <c r="AG60" s="56">
        <f>IF($B$9="Non-Taxable",0,-(AssetBasis)*AG$46*DEP_28)</f>
        <v>0</v>
      </c>
      <c r="AH60" s="56">
        <f>IF($B$9="Non-Taxable",0,-(AssetBasis)*AH$46*DEP_29)</f>
        <v>0</v>
      </c>
      <c r="AI60" s="56">
        <f>IF($B$9="Non-Taxable",0,-(AssetBasis)*AI$46*DEP_30)</f>
        <v>0</v>
      </c>
    </row>
    <row r="61" spans="1:35" s="5" customFormat="1" ht="18" customHeight="1" x14ac:dyDescent="0.2">
      <c r="A61" s="80"/>
      <c r="B61" s="80" t="s">
        <v>37</v>
      </c>
      <c r="C61" s="56"/>
      <c r="E61" s="56">
        <f>SUM(E59:E60)</f>
        <v>0</v>
      </c>
      <c r="F61" s="56">
        <f>SUM(F59:F60)</f>
        <v>-184860.2</v>
      </c>
      <c r="G61" s="56">
        <f t="shared" ref="G61:AI61" si="14">SUM(G59:G60)</f>
        <v>-405775.67537999997</v>
      </c>
      <c r="H61" s="56">
        <f t="shared" si="14"/>
        <v>-173599.45525116197</v>
      </c>
      <c r="I61" s="56">
        <f t="shared" si="14"/>
        <v>-34970.182800864277</v>
      </c>
      <c r="J61" s="56">
        <f t="shared" si="14"/>
        <v>-36659.305838474858</v>
      </c>
      <c r="K61" s="56">
        <f>SUM(K59:K60)</f>
        <v>66881.723093429828</v>
      </c>
      <c r="L61" s="56">
        <f t="shared" si="14"/>
        <v>170417.4466052168</v>
      </c>
      <c r="M61" s="56">
        <f t="shared" si="14"/>
        <v>168712.40234365582</v>
      </c>
      <c r="N61" s="56">
        <f t="shared" si="14"/>
        <v>167001.52287262035</v>
      </c>
      <c r="O61" s="56">
        <f t="shared" si="14"/>
        <v>95284.535550962566</v>
      </c>
      <c r="P61" s="56">
        <f t="shared" si="14"/>
        <v>0</v>
      </c>
      <c r="Q61" s="56">
        <f t="shared" si="14"/>
        <v>0</v>
      </c>
      <c r="R61" s="56">
        <f t="shared" si="14"/>
        <v>0</v>
      </c>
      <c r="S61" s="56">
        <f t="shared" si="14"/>
        <v>0</v>
      </c>
      <c r="T61" s="56">
        <f t="shared" si="14"/>
        <v>0</v>
      </c>
      <c r="U61" s="56">
        <f t="shared" si="14"/>
        <v>0</v>
      </c>
      <c r="V61" s="56">
        <f t="shared" si="14"/>
        <v>0</v>
      </c>
      <c r="W61" s="56">
        <f t="shared" si="14"/>
        <v>0</v>
      </c>
      <c r="X61" s="56">
        <f t="shared" si="14"/>
        <v>0</v>
      </c>
      <c r="Y61" s="56">
        <f t="shared" si="14"/>
        <v>0</v>
      </c>
      <c r="Z61" s="56">
        <f t="shared" si="14"/>
        <v>0</v>
      </c>
      <c r="AA61" s="56">
        <f t="shared" si="14"/>
        <v>0</v>
      </c>
      <c r="AB61" s="56">
        <f t="shared" si="14"/>
        <v>0</v>
      </c>
      <c r="AC61" s="56">
        <f t="shared" si="14"/>
        <v>0</v>
      </c>
      <c r="AD61" s="56">
        <f t="shared" si="14"/>
        <v>0</v>
      </c>
      <c r="AE61" s="56">
        <f t="shared" si="14"/>
        <v>0</v>
      </c>
      <c r="AF61" s="56">
        <f t="shared" si="14"/>
        <v>0</v>
      </c>
      <c r="AG61" s="56">
        <f t="shared" si="14"/>
        <v>0</v>
      </c>
      <c r="AH61" s="56">
        <f t="shared" si="14"/>
        <v>0</v>
      </c>
      <c r="AI61" s="56">
        <f t="shared" si="14"/>
        <v>0</v>
      </c>
    </row>
    <row r="62" spans="1:35" s="5" customFormat="1" ht="18" customHeight="1" x14ac:dyDescent="0.2">
      <c r="A62" s="46" t="s">
        <v>38</v>
      </c>
      <c r="B62" s="46"/>
      <c r="C62" s="56"/>
      <c r="E62" s="56"/>
      <c r="F62" s="56">
        <f t="shared" ref="F62:AI62" si="15">Interest</f>
        <v>-55944</v>
      </c>
      <c r="G62" s="56">
        <f t="shared" si="15"/>
        <v>-51699.642945318847</v>
      </c>
      <c r="H62" s="56">
        <f t="shared" si="15"/>
        <v>-47200.624467356822</v>
      </c>
      <c r="I62" s="56">
        <f t="shared" si="15"/>
        <v>-42431.664880717079</v>
      </c>
      <c r="J62" s="56">
        <f t="shared" si="15"/>
        <v>-37376.567718878949</v>
      </c>
      <c r="K62" s="56">
        <f t="shared" si="15"/>
        <v>-32018.164727330532</v>
      </c>
      <c r="L62" s="56">
        <f t="shared" si="15"/>
        <v>-26338.257556289209</v>
      </c>
      <c r="M62" s="56">
        <f t="shared" si="15"/>
        <v>-20317.555954985408</v>
      </c>
      <c r="N62" s="56">
        <f t="shared" si="15"/>
        <v>-13935.612257603379</v>
      </c>
      <c r="O62" s="56">
        <f t="shared" si="15"/>
        <v>-7170.7519383784283</v>
      </c>
      <c r="P62" s="56">
        <f t="shared" si="15"/>
        <v>0</v>
      </c>
      <c r="Q62" s="56">
        <f t="shared" si="15"/>
        <v>0</v>
      </c>
      <c r="R62" s="56">
        <f t="shared" si="15"/>
        <v>0</v>
      </c>
      <c r="S62" s="56">
        <f t="shared" si="15"/>
        <v>0</v>
      </c>
      <c r="T62" s="56">
        <f t="shared" si="15"/>
        <v>0</v>
      </c>
      <c r="U62" s="56">
        <f t="shared" si="15"/>
        <v>0</v>
      </c>
      <c r="V62" s="56">
        <f t="shared" si="15"/>
        <v>0</v>
      </c>
      <c r="W62" s="56">
        <f t="shared" si="15"/>
        <v>0</v>
      </c>
      <c r="X62" s="56">
        <f t="shared" si="15"/>
        <v>0</v>
      </c>
      <c r="Y62" s="56">
        <f t="shared" si="15"/>
        <v>0</v>
      </c>
      <c r="Z62" s="56">
        <f t="shared" si="15"/>
        <v>0</v>
      </c>
      <c r="AA62" s="56">
        <f t="shared" si="15"/>
        <v>0</v>
      </c>
      <c r="AB62" s="56">
        <f t="shared" si="15"/>
        <v>0</v>
      </c>
      <c r="AC62" s="56">
        <f t="shared" si="15"/>
        <v>0</v>
      </c>
      <c r="AD62" s="56">
        <f t="shared" si="15"/>
        <v>0</v>
      </c>
      <c r="AE62" s="56">
        <f t="shared" si="15"/>
        <v>0</v>
      </c>
      <c r="AF62" s="56">
        <f t="shared" si="15"/>
        <v>0</v>
      </c>
      <c r="AG62" s="56">
        <f t="shared" si="15"/>
        <v>0</v>
      </c>
      <c r="AH62" s="56">
        <f t="shared" si="15"/>
        <v>0</v>
      </c>
      <c r="AI62" s="56">
        <f t="shared" si="15"/>
        <v>0</v>
      </c>
    </row>
    <row r="63" spans="1:35" s="5" customFormat="1" ht="18" customHeight="1" x14ac:dyDescent="0.2">
      <c r="A63" s="80"/>
      <c r="B63" s="80" t="s">
        <v>39</v>
      </c>
      <c r="C63" s="56"/>
      <c r="E63" s="56">
        <f>E61+E62</f>
        <v>0</v>
      </c>
      <c r="F63" s="56">
        <f>F61+F62</f>
        <v>-240804.2</v>
      </c>
      <c r="G63" s="56">
        <f t="shared" ref="G63:AI63" si="16">G61+G62</f>
        <v>-457475.3183253188</v>
      </c>
      <c r="H63" s="56">
        <f t="shared" si="16"/>
        <v>-220800.0797185188</v>
      </c>
      <c r="I63" s="56">
        <f t="shared" si="16"/>
        <v>-77401.847681581363</v>
      </c>
      <c r="J63" s="56">
        <f>J61+J62</f>
        <v>-74035.8735573538</v>
      </c>
      <c r="K63" s="56">
        <f>K61+K62</f>
        <v>34863.5583660993</v>
      </c>
      <c r="L63" s="56">
        <f t="shared" si="16"/>
        <v>144079.1890489276</v>
      </c>
      <c r="M63" s="56">
        <f t="shared" si="16"/>
        <v>148394.84638867041</v>
      </c>
      <c r="N63" s="56">
        <f t="shared" si="16"/>
        <v>153065.91061501697</v>
      </c>
      <c r="O63" s="56">
        <f t="shared" si="16"/>
        <v>88113.783612584142</v>
      </c>
      <c r="P63" s="56">
        <f t="shared" si="16"/>
        <v>0</v>
      </c>
      <c r="Q63" s="56">
        <f t="shared" si="16"/>
        <v>0</v>
      </c>
      <c r="R63" s="56">
        <f t="shared" si="16"/>
        <v>0</v>
      </c>
      <c r="S63" s="56">
        <f t="shared" si="16"/>
        <v>0</v>
      </c>
      <c r="T63" s="56">
        <f t="shared" si="16"/>
        <v>0</v>
      </c>
      <c r="U63" s="56">
        <f t="shared" si="16"/>
        <v>0</v>
      </c>
      <c r="V63" s="56">
        <f t="shared" si="16"/>
        <v>0</v>
      </c>
      <c r="W63" s="56">
        <f t="shared" si="16"/>
        <v>0</v>
      </c>
      <c r="X63" s="56">
        <f t="shared" si="16"/>
        <v>0</v>
      </c>
      <c r="Y63" s="56">
        <f t="shared" si="16"/>
        <v>0</v>
      </c>
      <c r="Z63" s="56">
        <f t="shared" si="16"/>
        <v>0</v>
      </c>
      <c r="AA63" s="56">
        <f t="shared" si="16"/>
        <v>0</v>
      </c>
      <c r="AB63" s="56">
        <f t="shared" si="16"/>
        <v>0</v>
      </c>
      <c r="AC63" s="56">
        <f t="shared" si="16"/>
        <v>0</v>
      </c>
      <c r="AD63" s="56">
        <f t="shared" si="16"/>
        <v>0</v>
      </c>
      <c r="AE63" s="56">
        <f t="shared" si="16"/>
        <v>0</v>
      </c>
      <c r="AF63" s="56">
        <f t="shared" si="16"/>
        <v>0</v>
      </c>
      <c r="AG63" s="56">
        <f t="shared" si="16"/>
        <v>0</v>
      </c>
      <c r="AH63" s="56">
        <f t="shared" si="16"/>
        <v>0</v>
      </c>
      <c r="AI63" s="56">
        <f t="shared" si="16"/>
        <v>0</v>
      </c>
    </row>
    <row r="64" spans="1:35" s="30" customFormat="1" ht="18" customHeight="1" x14ac:dyDescent="0.2">
      <c r="A64" s="46" t="s">
        <v>57</v>
      </c>
      <c r="B64" s="46"/>
      <c r="C64" s="56"/>
      <c r="E64" s="56">
        <f t="shared" ref="E64" si="17">IF(taxable="Taxable (Corporation)",IF(StateTaxAdj&gt;=0,-EBT*FedTaxRate,(-EBT*FedTaxRate)-(StateTaxAdj*FedTaxRate)),0)</f>
        <v>0</v>
      </c>
      <c r="F64" s="56">
        <f t="shared" ref="F64:AI64" si="18">IF(taxable="Non-Taxable",0,IF(StateTaxAdj&gt;=0,-EBT*FedTaxRate,(-EBT*FedTaxRate)-(StateTaxAdj*FedTaxRate)))</f>
        <v>52662.091439999997</v>
      </c>
      <c r="G64" s="56">
        <f t="shared" si="18"/>
        <v>98206.183500451589</v>
      </c>
      <c r="H64" s="56">
        <f t="shared" si="18"/>
        <v>48551.74660161783</v>
      </c>
      <c r="I64" s="56">
        <f t="shared" si="18"/>
        <v>18489.93969208152</v>
      </c>
      <c r="J64" s="56">
        <f t="shared" si="18"/>
        <v>17839.633491280754</v>
      </c>
      <c r="K64" s="56">
        <f t="shared" si="18"/>
        <v>-4967.6881163303842</v>
      </c>
      <c r="L64" s="56">
        <f t="shared" si="18"/>
        <v>-27836.099324252813</v>
      </c>
      <c r="M64" s="56">
        <f t="shared" si="18"/>
        <v>-28669.884322291124</v>
      </c>
      <c r="N64" s="56">
        <f t="shared" si="18"/>
        <v>-29572.333930821274</v>
      </c>
      <c r="O64" s="56">
        <f t="shared" si="18"/>
        <v>-17023.582993951259</v>
      </c>
      <c r="P64" s="56">
        <f t="shared" si="18"/>
        <v>0</v>
      </c>
      <c r="Q64" s="56">
        <f t="shared" si="18"/>
        <v>0</v>
      </c>
      <c r="R64" s="56">
        <f t="shared" si="18"/>
        <v>0</v>
      </c>
      <c r="S64" s="56">
        <f t="shared" si="18"/>
        <v>0</v>
      </c>
      <c r="T64" s="56">
        <f t="shared" si="18"/>
        <v>0</v>
      </c>
      <c r="U64" s="56">
        <f t="shared" si="18"/>
        <v>0</v>
      </c>
      <c r="V64" s="56">
        <f t="shared" si="18"/>
        <v>0</v>
      </c>
      <c r="W64" s="56">
        <f t="shared" si="18"/>
        <v>0</v>
      </c>
      <c r="X64" s="56">
        <f t="shared" si="18"/>
        <v>0</v>
      </c>
      <c r="Y64" s="56">
        <f t="shared" si="18"/>
        <v>0</v>
      </c>
      <c r="Z64" s="56">
        <f t="shared" si="18"/>
        <v>0</v>
      </c>
      <c r="AA64" s="56">
        <f t="shared" si="18"/>
        <v>0</v>
      </c>
      <c r="AB64" s="56">
        <f t="shared" si="18"/>
        <v>0</v>
      </c>
      <c r="AC64" s="56">
        <f t="shared" si="18"/>
        <v>0</v>
      </c>
      <c r="AD64" s="56">
        <f t="shared" si="18"/>
        <v>0</v>
      </c>
      <c r="AE64" s="56">
        <f t="shared" si="18"/>
        <v>0</v>
      </c>
      <c r="AF64" s="56">
        <f t="shared" si="18"/>
        <v>0</v>
      </c>
      <c r="AG64" s="56">
        <f t="shared" si="18"/>
        <v>0</v>
      </c>
      <c r="AH64" s="56">
        <f t="shared" si="18"/>
        <v>0</v>
      </c>
      <c r="AI64" s="56">
        <f t="shared" si="18"/>
        <v>0</v>
      </c>
    </row>
    <row r="65" spans="1:35" s="30" customFormat="1" ht="18" customHeight="1" x14ac:dyDescent="0.2">
      <c r="A65" s="47" t="s">
        <v>58</v>
      </c>
      <c r="B65" s="47"/>
      <c r="C65" s="23"/>
      <c r="E65" s="23">
        <f t="shared" ref="E65" si="19">IF(taxable="Taxable (Corporation)",IF(ProjectYear&lt;=projectlife,-(EBT-FedDepr)*StateTaxRate,0),0)</f>
        <v>0</v>
      </c>
      <c r="F65" s="23">
        <f t="shared" ref="F65:AI65" si="20">IF(taxable="Non-Taxable",0,IF(ProjectYear&lt;=projectlife,-(EBT-FedDepr)*StateTaxRate,0))</f>
        <v>-9967.6639999999989</v>
      </c>
      <c r="G65" s="23">
        <f t="shared" si="20"/>
        <v>-10173.174533974496</v>
      </c>
      <c r="H65" s="23">
        <f t="shared" si="20"/>
        <v>-10398.713622518497</v>
      </c>
      <c r="I65" s="23">
        <f t="shared" si="20"/>
        <v>-10645.484185473491</v>
      </c>
      <c r="J65" s="23">
        <f t="shared" si="20"/>
        <v>-10914.762115411695</v>
      </c>
      <c r="K65" s="23">
        <f t="shared" si="20"/>
        <v>-11207.900669287945</v>
      </c>
      <c r="L65" s="23">
        <f t="shared" si="20"/>
        <v>-11526.335123914208</v>
      </c>
      <c r="M65" s="23">
        <f t="shared" si="20"/>
        <v>-11871.587711093633</v>
      </c>
      <c r="N65" s="23">
        <f t="shared" si="20"/>
        <v>-12245.272849201358</v>
      </c>
      <c r="O65" s="23">
        <f t="shared" si="20"/>
        <v>-7049.1026890067315</v>
      </c>
      <c r="P65" s="23">
        <f t="shared" si="20"/>
        <v>0</v>
      </c>
      <c r="Q65" s="23">
        <f t="shared" si="20"/>
        <v>0</v>
      </c>
      <c r="R65" s="23">
        <f t="shared" si="20"/>
        <v>0</v>
      </c>
      <c r="S65" s="23">
        <f t="shared" si="20"/>
        <v>0</v>
      </c>
      <c r="T65" s="23">
        <f t="shared" si="20"/>
        <v>0</v>
      </c>
      <c r="U65" s="23">
        <f t="shared" si="20"/>
        <v>0</v>
      </c>
      <c r="V65" s="23">
        <f t="shared" si="20"/>
        <v>0</v>
      </c>
      <c r="W65" s="23">
        <f t="shared" si="20"/>
        <v>0</v>
      </c>
      <c r="X65" s="23">
        <f t="shared" si="20"/>
        <v>0</v>
      </c>
      <c r="Y65" s="23">
        <f t="shared" si="20"/>
        <v>0</v>
      </c>
      <c r="Z65" s="23">
        <f t="shared" si="20"/>
        <v>0</v>
      </c>
      <c r="AA65" s="23">
        <f t="shared" si="20"/>
        <v>0</v>
      </c>
      <c r="AB65" s="23">
        <f t="shared" si="20"/>
        <v>0</v>
      </c>
      <c r="AC65" s="23">
        <f t="shared" si="20"/>
        <v>0</v>
      </c>
      <c r="AD65" s="23">
        <f t="shared" si="20"/>
        <v>0</v>
      </c>
      <c r="AE65" s="23">
        <f t="shared" si="20"/>
        <v>0</v>
      </c>
      <c r="AF65" s="23">
        <f t="shared" si="20"/>
        <v>0</v>
      </c>
      <c r="AG65" s="23">
        <f t="shared" si="20"/>
        <v>0</v>
      </c>
      <c r="AH65" s="23">
        <f t="shared" si="20"/>
        <v>0</v>
      </c>
      <c r="AI65" s="23">
        <f t="shared" si="20"/>
        <v>0</v>
      </c>
    </row>
    <row r="66" spans="1:35" s="21" customFormat="1" ht="18" customHeight="1" x14ac:dyDescent="0.25">
      <c r="A66" s="82" t="s">
        <v>40</v>
      </c>
      <c r="B66" s="83"/>
      <c r="C66" s="84"/>
      <c r="D66" s="84"/>
      <c r="E66" s="84">
        <f>SUM(E63:E65)</f>
        <v>0</v>
      </c>
      <c r="F66" s="84">
        <f>SUM(F63:F65)</f>
        <v>-198109.77256000001</v>
      </c>
      <c r="G66" s="84">
        <f t="shared" ref="G66:AI66" si="21">SUM(G63:G65)</f>
        <v>-369442.30935884174</v>
      </c>
      <c r="H66" s="84">
        <f t="shared" si="21"/>
        <v>-182647.04673941946</v>
      </c>
      <c r="I66" s="84">
        <f t="shared" si="21"/>
        <v>-69557.392174973327</v>
      </c>
      <c r="J66" s="84">
        <f t="shared" si="21"/>
        <v>-67111.002181484742</v>
      </c>
      <c r="K66" s="84">
        <f t="shared" si="21"/>
        <v>18687.969580480971</v>
      </c>
      <c r="L66" s="84">
        <f t="shared" si="21"/>
        <v>104716.75460076059</v>
      </c>
      <c r="M66" s="84">
        <f t="shared" si="21"/>
        <v>107853.37435528566</v>
      </c>
      <c r="N66" s="84">
        <f t="shared" si="21"/>
        <v>111248.30383499434</v>
      </c>
      <c r="O66" s="84">
        <f t="shared" si="21"/>
        <v>64041.09792962615</v>
      </c>
      <c r="P66" s="84">
        <f t="shared" si="21"/>
        <v>0</v>
      </c>
      <c r="Q66" s="84">
        <f t="shared" si="21"/>
        <v>0</v>
      </c>
      <c r="R66" s="84">
        <f t="shared" si="21"/>
        <v>0</v>
      </c>
      <c r="S66" s="84">
        <f t="shared" si="21"/>
        <v>0</v>
      </c>
      <c r="T66" s="84">
        <f t="shared" si="21"/>
        <v>0</v>
      </c>
      <c r="U66" s="84">
        <f t="shared" si="21"/>
        <v>0</v>
      </c>
      <c r="V66" s="84">
        <f t="shared" si="21"/>
        <v>0</v>
      </c>
      <c r="W66" s="84">
        <f t="shared" si="21"/>
        <v>0</v>
      </c>
      <c r="X66" s="84">
        <f t="shared" si="21"/>
        <v>0</v>
      </c>
      <c r="Y66" s="84">
        <f t="shared" si="21"/>
        <v>0</v>
      </c>
      <c r="Z66" s="84">
        <f t="shared" si="21"/>
        <v>0</v>
      </c>
      <c r="AA66" s="84">
        <f t="shared" si="21"/>
        <v>0</v>
      </c>
      <c r="AB66" s="84">
        <f t="shared" si="21"/>
        <v>0</v>
      </c>
      <c r="AC66" s="84">
        <f t="shared" si="21"/>
        <v>0</v>
      </c>
      <c r="AD66" s="84">
        <f t="shared" si="21"/>
        <v>0</v>
      </c>
      <c r="AE66" s="84">
        <f t="shared" si="21"/>
        <v>0</v>
      </c>
      <c r="AF66" s="84">
        <f t="shared" si="21"/>
        <v>0</v>
      </c>
      <c r="AG66" s="84">
        <f t="shared" si="21"/>
        <v>0</v>
      </c>
      <c r="AH66" s="84">
        <f t="shared" si="21"/>
        <v>0</v>
      </c>
      <c r="AI66" s="85">
        <f t="shared" si="21"/>
        <v>0</v>
      </c>
    </row>
    <row r="67" spans="1:35" s="5" customFormat="1" ht="18" customHeight="1" x14ac:dyDescent="0.25">
      <c r="A67" s="57" t="s">
        <v>53</v>
      </c>
      <c r="B67" s="57"/>
      <c r="C67" s="56"/>
      <c r="E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row>
    <row r="68" spans="1:35" s="5" customFormat="1" ht="18" customHeight="1" x14ac:dyDescent="0.25">
      <c r="A68" s="58" t="s">
        <v>103</v>
      </c>
      <c r="B68" s="58"/>
      <c r="C68" s="56"/>
      <c r="E68" s="56">
        <f t="shared" ref="E68:AI68" si="22">E66-E60</f>
        <v>0</v>
      </c>
      <c r="F68" s="56">
        <f>F66-F60</f>
        <v>167290.22743999999</v>
      </c>
      <c r="G68" s="56">
        <f t="shared" si="22"/>
        <v>215197.69064115826</v>
      </c>
      <c r="H68" s="56">
        <f t="shared" si="22"/>
        <v>168136.95326058054</v>
      </c>
      <c r="I68" s="56">
        <f t="shared" si="22"/>
        <v>140913.00782502667</v>
      </c>
      <c r="J68" s="56">
        <f t="shared" si="22"/>
        <v>143359.39781851525</v>
      </c>
      <c r="K68" s="56">
        <f t="shared" si="22"/>
        <v>123923.16958048097</v>
      </c>
      <c r="L68" s="56">
        <f t="shared" si="22"/>
        <v>104716.75460076059</v>
      </c>
      <c r="M68" s="56">
        <f t="shared" si="22"/>
        <v>107853.37435528566</v>
      </c>
      <c r="N68" s="56">
        <f t="shared" si="22"/>
        <v>111248.30383499434</v>
      </c>
      <c r="O68" s="56">
        <f t="shared" si="22"/>
        <v>64041.09792962615</v>
      </c>
      <c r="P68" s="56">
        <f t="shared" si="22"/>
        <v>0</v>
      </c>
      <c r="Q68" s="56">
        <f t="shared" si="22"/>
        <v>0</v>
      </c>
      <c r="R68" s="56">
        <f t="shared" si="22"/>
        <v>0</v>
      </c>
      <c r="S68" s="56">
        <f t="shared" si="22"/>
        <v>0</v>
      </c>
      <c r="T68" s="56">
        <f t="shared" si="22"/>
        <v>0</v>
      </c>
      <c r="U68" s="56">
        <f t="shared" si="22"/>
        <v>0</v>
      </c>
      <c r="V68" s="56">
        <f t="shared" si="22"/>
        <v>0</v>
      </c>
      <c r="W68" s="56">
        <f t="shared" si="22"/>
        <v>0</v>
      </c>
      <c r="X68" s="56">
        <f t="shared" si="22"/>
        <v>0</v>
      </c>
      <c r="Y68" s="56">
        <f t="shared" si="22"/>
        <v>0</v>
      </c>
      <c r="Z68" s="56">
        <f t="shared" si="22"/>
        <v>0</v>
      </c>
      <c r="AA68" s="56">
        <f t="shared" si="22"/>
        <v>0</v>
      </c>
      <c r="AB68" s="56">
        <f t="shared" si="22"/>
        <v>0</v>
      </c>
      <c r="AC68" s="56">
        <f t="shared" si="22"/>
        <v>0</v>
      </c>
      <c r="AD68" s="56">
        <f t="shared" si="22"/>
        <v>0</v>
      </c>
      <c r="AE68" s="56">
        <f t="shared" si="22"/>
        <v>0</v>
      </c>
      <c r="AF68" s="56">
        <f t="shared" si="22"/>
        <v>0</v>
      </c>
      <c r="AG68" s="56">
        <f t="shared" si="22"/>
        <v>0</v>
      </c>
      <c r="AH68" s="56">
        <f t="shared" si="22"/>
        <v>0</v>
      </c>
      <c r="AI68" s="56">
        <f t="shared" si="22"/>
        <v>0</v>
      </c>
    </row>
    <row r="69" spans="1:35" s="5" customFormat="1" ht="18" customHeight="1" x14ac:dyDescent="0.25">
      <c r="A69" s="58" t="s">
        <v>46</v>
      </c>
      <c r="B69" s="58"/>
      <c r="C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row>
    <row r="70" spans="1:35" s="5" customFormat="1" ht="18" customHeight="1" x14ac:dyDescent="0.2">
      <c r="A70" s="59" t="s">
        <v>127</v>
      </c>
      <c r="B70" s="59"/>
      <c r="C70" s="56"/>
      <c r="E70" s="56">
        <f>-(SysCost)</f>
        <v>-2100000</v>
      </c>
      <c r="F70" s="56">
        <f t="shared" ref="F70:AI70" si="23">IF(F$44=$B$16,$B$15,0)</f>
        <v>0</v>
      </c>
      <c r="G70" s="56">
        <f t="shared" si="23"/>
        <v>0</v>
      </c>
      <c r="H70" s="56">
        <f t="shared" si="23"/>
        <v>0</v>
      </c>
      <c r="I70" s="56">
        <f t="shared" si="23"/>
        <v>0</v>
      </c>
      <c r="J70" s="56">
        <f t="shared" si="23"/>
        <v>0</v>
      </c>
      <c r="K70" s="56">
        <f t="shared" si="23"/>
        <v>0</v>
      </c>
      <c r="L70" s="56">
        <f t="shared" si="23"/>
        <v>0</v>
      </c>
      <c r="M70" s="56">
        <f t="shared" si="23"/>
        <v>0</v>
      </c>
      <c r="N70" s="56">
        <f t="shared" si="23"/>
        <v>0</v>
      </c>
      <c r="O70" s="56">
        <f t="shared" si="23"/>
        <v>525000</v>
      </c>
      <c r="P70" s="56">
        <f t="shared" si="23"/>
        <v>0</v>
      </c>
      <c r="Q70" s="56">
        <f t="shared" si="23"/>
        <v>0</v>
      </c>
      <c r="R70" s="56">
        <f t="shared" si="23"/>
        <v>0</v>
      </c>
      <c r="S70" s="56">
        <f t="shared" si="23"/>
        <v>0</v>
      </c>
      <c r="T70" s="56">
        <f t="shared" si="23"/>
        <v>0</v>
      </c>
      <c r="U70" s="56">
        <f t="shared" si="23"/>
        <v>0</v>
      </c>
      <c r="V70" s="56">
        <f t="shared" si="23"/>
        <v>0</v>
      </c>
      <c r="W70" s="56">
        <f t="shared" si="23"/>
        <v>0</v>
      </c>
      <c r="X70" s="56">
        <f t="shared" si="23"/>
        <v>0</v>
      </c>
      <c r="Y70" s="56">
        <f t="shared" si="23"/>
        <v>0</v>
      </c>
      <c r="Z70" s="56">
        <f t="shared" si="23"/>
        <v>0</v>
      </c>
      <c r="AA70" s="56">
        <f t="shared" si="23"/>
        <v>0</v>
      </c>
      <c r="AB70" s="56">
        <f t="shared" si="23"/>
        <v>0</v>
      </c>
      <c r="AC70" s="56">
        <f t="shared" si="23"/>
        <v>0</v>
      </c>
      <c r="AD70" s="56">
        <f t="shared" si="23"/>
        <v>0</v>
      </c>
      <c r="AE70" s="56">
        <f t="shared" si="23"/>
        <v>0</v>
      </c>
      <c r="AF70" s="56">
        <f t="shared" si="23"/>
        <v>0</v>
      </c>
      <c r="AG70" s="56">
        <f t="shared" si="23"/>
        <v>0</v>
      </c>
      <c r="AH70" s="56">
        <f t="shared" si="23"/>
        <v>0</v>
      </c>
      <c r="AI70" s="56">
        <f t="shared" si="23"/>
        <v>0</v>
      </c>
    </row>
    <row r="71" spans="1:35" s="5" customFormat="1" ht="18" customHeight="1" x14ac:dyDescent="0.2">
      <c r="A71" s="59" t="s">
        <v>61</v>
      </c>
      <c r="B71" s="59"/>
      <c r="C71" s="56"/>
      <c r="E71" s="56">
        <f>IF(taxable="Non-Taxable",0,$H$14)</f>
        <v>546000</v>
      </c>
      <c r="F71" s="70"/>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row>
    <row r="72" spans="1:35" s="5" customFormat="1" ht="18" customHeight="1" x14ac:dyDescent="0.2">
      <c r="A72" s="59" t="s">
        <v>77</v>
      </c>
      <c r="B72" s="59"/>
      <c r="C72" s="56"/>
      <c r="E72" s="56">
        <f>B19</f>
        <v>0</v>
      </c>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row>
    <row r="73" spans="1:35" s="5" customFormat="1" ht="18" customHeight="1" x14ac:dyDescent="0.2">
      <c r="A73" s="55" t="s">
        <v>47</v>
      </c>
      <c r="B73" s="55"/>
      <c r="C73" s="56"/>
      <c r="E73" s="56">
        <f t="shared" ref="E73:AI73" si="24">SUM(E70:E72)</f>
        <v>-1554000</v>
      </c>
      <c r="F73" s="56">
        <f t="shared" si="24"/>
        <v>0</v>
      </c>
      <c r="G73" s="56">
        <f t="shared" si="24"/>
        <v>0</v>
      </c>
      <c r="H73" s="56">
        <f t="shared" si="24"/>
        <v>0</v>
      </c>
      <c r="I73" s="56">
        <f t="shared" si="24"/>
        <v>0</v>
      </c>
      <c r="J73" s="56">
        <f t="shared" si="24"/>
        <v>0</v>
      </c>
      <c r="K73" s="56">
        <f t="shared" si="24"/>
        <v>0</v>
      </c>
      <c r="L73" s="56">
        <f t="shared" si="24"/>
        <v>0</v>
      </c>
      <c r="M73" s="56">
        <f t="shared" si="24"/>
        <v>0</v>
      </c>
      <c r="N73" s="56">
        <f t="shared" si="24"/>
        <v>0</v>
      </c>
      <c r="O73" s="56">
        <f t="shared" si="24"/>
        <v>525000</v>
      </c>
      <c r="P73" s="56">
        <f t="shared" si="24"/>
        <v>0</v>
      </c>
      <c r="Q73" s="56">
        <f t="shared" si="24"/>
        <v>0</v>
      </c>
      <c r="R73" s="56">
        <f t="shared" si="24"/>
        <v>0</v>
      </c>
      <c r="S73" s="56">
        <f t="shared" si="24"/>
        <v>0</v>
      </c>
      <c r="T73" s="56">
        <f t="shared" si="24"/>
        <v>0</v>
      </c>
      <c r="U73" s="56">
        <f t="shared" si="24"/>
        <v>0</v>
      </c>
      <c r="V73" s="56">
        <f t="shared" si="24"/>
        <v>0</v>
      </c>
      <c r="W73" s="56">
        <f t="shared" si="24"/>
        <v>0</v>
      </c>
      <c r="X73" s="56">
        <f t="shared" si="24"/>
        <v>0</v>
      </c>
      <c r="Y73" s="56">
        <f t="shared" si="24"/>
        <v>0</v>
      </c>
      <c r="Z73" s="56">
        <f t="shared" si="24"/>
        <v>0</v>
      </c>
      <c r="AA73" s="56">
        <f t="shared" si="24"/>
        <v>0</v>
      </c>
      <c r="AB73" s="56">
        <f t="shared" si="24"/>
        <v>0</v>
      </c>
      <c r="AC73" s="56">
        <f t="shared" si="24"/>
        <v>0</v>
      </c>
      <c r="AD73" s="56">
        <f t="shared" si="24"/>
        <v>0</v>
      </c>
      <c r="AE73" s="56">
        <f t="shared" si="24"/>
        <v>0</v>
      </c>
      <c r="AF73" s="56">
        <f t="shared" si="24"/>
        <v>0</v>
      </c>
      <c r="AG73" s="56">
        <f t="shared" si="24"/>
        <v>0</v>
      </c>
      <c r="AH73" s="56">
        <f t="shared" si="24"/>
        <v>0</v>
      </c>
      <c r="AI73" s="56">
        <f t="shared" si="24"/>
        <v>0</v>
      </c>
    </row>
    <row r="74" spans="1:35" s="5" customFormat="1" ht="18" customHeight="1" x14ac:dyDescent="0.25">
      <c r="A74" s="58" t="s">
        <v>130</v>
      </c>
      <c r="B74" s="58"/>
      <c r="C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row>
    <row r="75" spans="1:35" ht="18" customHeight="1" x14ac:dyDescent="0.2">
      <c r="A75" s="52" t="s">
        <v>49</v>
      </c>
      <c r="B75" s="52"/>
      <c r="C75" s="10"/>
      <c r="E75" s="10">
        <f>$G$30</f>
        <v>932400</v>
      </c>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row>
    <row r="76" spans="1:35" ht="18" customHeight="1" x14ac:dyDescent="0.2">
      <c r="A76" s="91" t="s">
        <v>50</v>
      </c>
      <c r="B76" s="91"/>
      <c r="C76" s="10"/>
      <c r="E76" s="10"/>
      <c r="F76" s="10">
        <f>Principle</f>
        <v>-70739.284244685899</v>
      </c>
      <c r="G76" s="10">
        <f>Principle</f>
        <v>-74983.641299367053</v>
      </c>
      <c r="H76" s="10">
        <f t="shared" ref="H76:AI76" si="25">Principle</f>
        <v>-79482.65977732907</v>
      </c>
      <c r="I76" s="10">
        <f t="shared" si="25"/>
        <v>-84251.619363968814</v>
      </c>
      <c r="J76" s="10">
        <f t="shared" si="25"/>
        <v>-89306.716525806958</v>
      </c>
      <c r="K76" s="10">
        <f t="shared" si="25"/>
        <v>-94665.119517355371</v>
      </c>
      <c r="L76" s="10">
        <f t="shared" si="25"/>
        <v>-100345.0266883967</v>
      </c>
      <c r="M76" s="10">
        <f t="shared" si="25"/>
        <v>-106365.72828970049</v>
      </c>
      <c r="N76" s="10">
        <f t="shared" si="25"/>
        <v>-112747.67198708252</v>
      </c>
      <c r="O76" s="10">
        <f t="shared" si="25"/>
        <v>-119512.53230630748</v>
      </c>
      <c r="P76" s="10">
        <f t="shared" si="25"/>
        <v>0</v>
      </c>
      <c r="Q76" s="10">
        <f t="shared" si="25"/>
        <v>0</v>
      </c>
      <c r="R76" s="10">
        <f t="shared" si="25"/>
        <v>0</v>
      </c>
      <c r="S76" s="10">
        <f t="shared" si="25"/>
        <v>0</v>
      </c>
      <c r="T76" s="10">
        <f t="shared" si="25"/>
        <v>0</v>
      </c>
      <c r="U76" s="10">
        <f t="shared" si="25"/>
        <v>0</v>
      </c>
      <c r="V76" s="10">
        <f t="shared" si="25"/>
        <v>0</v>
      </c>
      <c r="W76" s="10">
        <f t="shared" si="25"/>
        <v>0</v>
      </c>
      <c r="X76" s="10">
        <f t="shared" si="25"/>
        <v>0</v>
      </c>
      <c r="Y76" s="10">
        <f t="shared" si="25"/>
        <v>0</v>
      </c>
      <c r="Z76" s="10">
        <f t="shared" si="25"/>
        <v>0</v>
      </c>
      <c r="AA76" s="10">
        <f t="shared" si="25"/>
        <v>0</v>
      </c>
      <c r="AB76" s="10">
        <f t="shared" si="25"/>
        <v>0</v>
      </c>
      <c r="AC76" s="10">
        <f t="shared" si="25"/>
        <v>0</v>
      </c>
      <c r="AD76" s="10">
        <f t="shared" si="25"/>
        <v>0</v>
      </c>
      <c r="AE76" s="10">
        <f t="shared" si="25"/>
        <v>0</v>
      </c>
      <c r="AF76" s="10">
        <f t="shared" si="25"/>
        <v>0</v>
      </c>
      <c r="AG76" s="10">
        <f t="shared" si="25"/>
        <v>0</v>
      </c>
      <c r="AH76" s="10">
        <f t="shared" si="25"/>
        <v>0</v>
      </c>
      <c r="AI76" s="10">
        <f t="shared" si="25"/>
        <v>0</v>
      </c>
    </row>
    <row r="77" spans="1:35" ht="18" customHeight="1" x14ac:dyDescent="0.2">
      <c r="A77" s="37" t="s">
        <v>51</v>
      </c>
      <c r="B77" s="37"/>
      <c r="C77" s="10"/>
      <c r="E77" s="10">
        <f>E75+E76</f>
        <v>932400</v>
      </c>
      <c r="F77" s="10">
        <f>F75+F76</f>
        <v>-70739.284244685899</v>
      </c>
      <c r="G77" s="10">
        <f t="shared" ref="G77:AI77" si="26">G75+G76</f>
        <v>-74983.641299367053</v>
      </c>
      <c r="H77" s="10">
        <f t="shared" si="26"/>
        <v>-79482.65977732907</v>
      </c>
      <c r="I77" s="10">
        <f t="shared" si="26"/>
        <v>-84251.619363968814</v>
      </c>
      <c r="J77" s="10">
        <f t="shared" si="26"/>
        <v>-89306.716525806958</v>
      </c>
      <c r="K77" s="10">
        <f t="shared" si="26"/>
        <v>-94665.119517355371</v>
      </c>
      <c r="L77" s="10">
        <f t="shared" si="26"/>
        <v>-100345.0266883967</v>
      </c>
      <c r="M77" s="10">
        <f t="shared" si="26"/>
        <v>-106365.72828970049</v>
      </c>
      <c r="N77" s="10">
        <f t="shared" si="26"/>
        <v>-112747.67198708252</v>
      </c>
      <c r="O77" s="10">
        <f t="shared" si="26"/>
        <v>-119512.53230630748</v>
      </c>
      <c r="P77" s="10">
        <f t="shared" si="26"/>
        <v>0</v>
      </c>
      <c r="Q77" s="10">
        <f t="shared" si="26"/>
        <v>0</v>
      </c>
      <c r="R77" s="10">
        <f t="shared" si="26"/>
        <v>0</v>
      </c>
      <c r="S77" s="10">
        <f t="shared" si="26"/>
        <v>0</v>
      </c>
      <c r="T77" s="10">
        <f t="shared" si="26"/>
        <v>0</v>
      </c>
      <c r="U77" s="10">
        <f t="shared" si="26"/>
        <v>0</v>
      </c>
      <c r="V77" s="10">
        <f t="shared" si="26"/>
        <v>0</v>
      </c>
      <c r="W77" s="10">
        <f t="shared" si="26"/>
        <v>0</v>
      </c>
      <c r="X77" s="10">
        <f t="shared" si="26"/>
        <v>0</v>
      </c>
      <c r="Y77" s="10">
        <f t="shared" si="26"/>
        <v>0</v>
      </c>
      <c r="Z77" s="10">
        <f t="shared" si="26"/>
        <v>0</v>
      </c>
      <c r="AA77" s="10">
        <f t="shared" si="26"/>
        <v>0</v>
      </c>
      <c r="AB77" s="10">
        <f t="shared" si="26"/>
        <v>0</v>
      </c>
      <c r="AC77" s="10">
        <f t="shared" si="26"/>
        <v>0</v>
      </c>
      <c r="AD77" s="10">
        <f t="shared" si="26"/>
        <v>0</v>
      </c>
      <c r="AE77" s="10">
        <f t="shared" si="26"/>
        <v>0</v>
      </c>
      <c r="AF77" s="10">
        <f t="shared" si="26"/>
        <v>0</v>
      </c>
      <c r="AG77" s="10">
        <f t="shared" si="26"/>
        <v>0</v>
      </c>
      <c r="AH77" s="10">
        <f t="shared" si="26"/>
        <v>0</v>
      </c>
      <c r="AI77" s="10">
        <f t="shared" si="26"/>
        <v>0</v>
      </c>
    </row>
    <row r="78" spans="1:35" ht="18" customHeight="1" x14ac:dyDescent="0.2">
      <c r="A78" s="39"/>
      <c r="B78" s="39"/>
      <c r="C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row>
    <row r="79" spans="1:35" s="21" customFormat="1" ht="18" customHeight="1" x14ac:dyDescent="0.25">
      <c r="A79" s="92" t="s">
        <v>60</v>
      </c>
      <c r="B79" s="93"/>
      <c r="C79" s="94"/>
      <c r="D79" s="94"/>
      <c r="E79" s="94">
        <f>E68+E73+E77</f>
        <v>-621600</v>
      </c>
      <c r="F79" s="94">
        <f>F68+F73+F77</f>
        <v>96550.943195314088</v>
      </c>
      <c r="G79" s="94">
        <f t="shared" ref="G79:AI79" si="27">G68+G73+G77</f>
        <v>140214.04934179119</v>
      </c>
      <c r="H79" s="94">
        <f t="shared" si="27"/>
        <v>88654.293483251473</v>
      </c>
      <c r="I79" s="94">
        <f t="shared" si="27"/>
        <v>56661.388461057853</v>
      </c>
      <c r="J79" s="94">
        <f t="shared" si="27"/>
        <v>54052.681292708294</v>
      </c>
      <c r="K79" s="94">
        <f t="shared" si="27"/>
        <v>29258.0500631256</v>
      </c>
      <c r="L79" s="94">
        <f t="shared" si="27"/>
        <v>4371.7279123638873</v>
      </c>
      <c r="M79" s="94">
        <f t="shared" si="27"/>
        <v>1487.6460655851697</v>
      </c>
      <c r="N79" s="94">
        <f t="shared" si="27"/>
        <v>-1499.3681520881801</v>
      </c>
      <c r="O79" s="94">
        <f t="shared" si="27"/>
        <v>469528.56562331866</v>
      </c>
      <c r="P79" s="94">
        <f t="shared" si="27"/>
        <v>0</v>
      </c>
      <c r="Q79" s="94">
        <f t="shared" si="27"/>
        <v>0</v>
      </c>
      <c r="R79" s="94">
        <f t="shared" si="27"/>
        <v>0</v>
      </c>
      <c r="S79" s="94">
        <f t="shared" si="27"/>
        <v>0</v>
      </c>
      <c r="T79" s="94">
        <f t="shared" si="27"/>
        <v>0</v>
      </c>
      <c r="U79" s="94">
        <f t="shared" si="27"/>
        <v>0</v>
      </c>
      <c r="V79" s="94">
        <f t="shared" si="27"/>
        <v>0</v>
      </c>
      <c r="W79" s="94">
        <f t="shared" si="27"/>
        <v>0</v>
      </c>
      <c r="X79" s="94">
        <f t="shared" si="27"/>
        <v>0</v>
      </c>
      <c r="Y79" s="94">
        <f t="shared" si="27"/>
        <v>0</v>
      </c>
      <c r="Z79" s="94">
        <f t="shared" si="27"/>
        <v>0</v>
      </c>
      <c r="AA79" s="94">
        <f t="shared" si="27"/>
        <v>0</v>
      </c>
      <c r="AB79" s="94">
        <f t="shared" si="27"/>
        <v>0</v>
      </c>
      <c r="AC79" s="94">
        <f t="shared" si="27"/>
        <v>0</v>
      </c>
      <c r="AD79" s="94">
        <f t="shared" si="27"/>
        <v>0</v>
      </c>
      <c r="AE79" s="94">
        <f t="shared" si="27"/>
        <v>0</v>
      </c>
      <c r="AF79" s="94">
        <f t="shared" si="27"/>
        <v>0</v>
      </c>
      <c r="AG79" s="94">
        <f t="shared" si="27"/>
        <v>0</v>
      </c>
      <c r="AH79" s="94">
        <f t="shared" si="27"/>
        <v>0</v>
      </c>
      <c r="AI79" s="95">
        <f t="shared" si="27"/>
        <v>0</v>
      </c>
    </row>
    <row r="80" spans="1:35" s="1" customFormat="1" ht="18" customHeight="1" x14ac:dyDescent="0.25">
      <c r="A80" s="45" t="s">
        <v>59</v>
      </c>
      <c r="B80" s="45"/>
      <c r="C80" s="42"/>
      <c r="D80" s="42"/>
      <c r="E80" s="42">
        <f>E79</f>
        <v>-621600</v>
      </c>
      <c r="F80" s="42">
        <f>E80+F79</f>
        <v>-525049.05680468585</v>
      </c>
      <c r="G80" s="42">
        <f t="shared" ref="G80:AI80" si="28">F80+G79</f>
        <v>-384835.00746289466</v>
      </c>
      <c r="H80" s="42">
        <f t="shared" si="28"/>
        <v>-296180.71397964319</v>
      </c>
      <c r="I80" s="42">
        <f t="shared" si="28"/>
        <v>-239519.32551858533</v>
      </c>
      <c r="J80" s="42">
        <f t="shared" si="28"/>
        <v>-185466.64422587704</v>
      </c>
      <c r="K80" s="42">
        <f t="shared" si="28"/>
        <v>-156208.59416275145</v>
      </c>
      <c r="L80" s="42">
        <f t="shared" si="28"/>
        <v>-151836.86625038757</v>
      </c>
      <c r="M80" s="42">
        <f t="shared" si="28"/>
        <v>-150349.2201848024</v>
      </c>
      <c r="N80" s="42">
        <f t="shared" si="28"/>
        <v>-151848.58833689056</v>
      </c>
      <c r="O80" s="42">
        <f t="shared" si="28"/>
        <v>317679.9772864281</v>
      </c>
      <c r="P80" s="42">
        <f t="shared" si="28"/>
        <v>317679.9772864281</v>
      </c>
      <c r="Q80" s="42">
        <f t="shared" si="28"/>
        <v>317679.9772864281</v>
      </c>
      <c r="R80" s="42">
        <f t="shared" si="28"/>
        <v>317679.9772864281</v>
      </c>
      <c r="S80" s="42">
        <f t="shared" si="28"/>
        <v>317679.9772864281</v>
      </c>
      <c r="T80" s="42">
        <f t="shared" si="28"/>
        <v>317679.9772864281</v>
      </c>
      <c r="U80" s="42">
        <f t="shared" si="28"/>
        <v>317679.9772864281</v>
      </c>
      <c r="V80" s="42">
        <f t="shared" si="28"/>
        <v>317679.9772864281</v>
      </c>
      <c r="W80" s="42">
        <f t="shared" si="28"/>
        <v>317679.9772864281</v>
      </c>
      <c r="X80" s="42">
        <f t="shared" si="28"/>
        <v>317679.9772864281</v>
      </c>
      <c r="Y80" s="42">
        <f t="shared" si="28"/>
        <v>317679.9772864281</v>
      </c>
      <c r="Z80" s="42">
        <f t="shared" si="28"/>
        <v>317679.9772864281</v>
      </c>
      <c r="AA80" s="42">
        <f t="shared" si="28"/>
        <v>317679.9772864281</v>
      </c>
      <c r="AB80" s="42">
        <f t="shared" si="28"/>
        <v>317679.9772864281</v>
      </c>
      <c r="AC80" s="42">
        <f t="shared" si="28"/>
        <v>317679.9772864281</v>
      </c>
      <c r="AD80" s="42">
        <f t="shared" si="28"/>
        <v>317679.9772864281</v>
      </c>
      <c r="AE80" s="42">
        <f>AD80+AE79</f>
        <v>317679.9772864281</v>
      </c>
      <c r="AF80" s="42">
        <f t="shared" si="28"/>
        <v>317679.9772864281</v>
      </c>
      <c r="AG80" s="42">
        <f t="shared" si="28"/>
        <v>317679.9772864281</v>
      </c>
      <c r="AH80" s="42">
        <f t="shared" si="28"/>
        <v>317679.9772864281</v>
      </c>
      <c r="AI80" s="42">
        <f t="shared" si="28"/>
        <v>317679.9772864281</v>
      </c>
    </row>
    <row r="81" spans="1:35" ht="19.5" customHeight="1" x14ac:dyDescent="0.2">
      <c r="A81" s="39"/>
      <c r="B81" s="39"/>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row>
    <row r="82" spans="1:35" s="5" customFormat="1" ht="21" customHeight="1" x14ac:dyDescent="0.4">
      <c r="A82" s="108" t="s">
        <v>131</v>
      </c>
      <c r="B82" s="96"/>
      <c r="C82" s="96"/>
      <c r="D82" s="96"/>
      <c r="E82" s="96"/>
      <c r="F82" s="96"/>
      <c r="G82" s="96"/>
      <c r="H82" s="96"/>
      <c r="I82" s="96"/>
      <c r="J82" s="96"/>
      <c r="K82" s="96"/>
      <c r="L82" s="96"/>
      <c r="M82" s="96"/>
      <c r="N82" s="96"/>
      <c r="O82" s="96"/>
      <c r="P82" s="97"/>
      <c r="Q82" s="97"/>
      <c r="R82" s="97"/>
      <c r="S82" s="97"/>
      <c r="T82" s="97"/>
      <c r="U82" s="97"/>
      <c r="V82" s="97"/>
      <c r="W82" s="97"/>
      <c r="X82" s="97"/>
      <c r="Y82" s="97"/>
      <c r="Z82" s="98"/>
      <c r="AA82" s="98"/>
      <c r="AB82" s="98"/>
      <c r="AC82" s="98"/>
      <c r="AD82" s="98"/>
      <c r="AE82" s="98"/>
      <c r="AF82" s="98"/>
      <c r="AG82" s="98"/>
      <c r="AH82" s="98"/>
      <c r="AI82" s="98"/>
    </row>
    <row r="83" spans="1:35" ht="15.75" x14ac:dyDescent="0.25">
      <c r="E83" s="9"/>
      <c r="F83" s="31" t="s">
        <v>3</v>
      </c>
      <c r="G83" s="31" t="s">
        <v>3</v>
      </c>
      <c r="H83" s="31" t="s">
        <v>3</v>
      </c>
      <c r="I83" s="31" t="s">
        <v>3</v>
      </c>
      <c r="J83" s="31" t="s">
        <v>3</v>
      </c>
      <c r="K83" s="31" t="s">
        <v>3</v>
      </c>
      <c r="L83" s="31" t="s">
        <v>3</v>
      </c>
      <c r="M83" s="31" t="s">
        <v>3</v>
      </c>
      <c r="N83" s="31" t="s">
        <v>3</v>
      </c>
      <c r="O83" s="31" t="s">
        <v>3</v>
      </c>
      <c r="P83" s="31" t="s">
        <v>3</v>
      </c>
      <c r="Q83" s="31" t="s">
        <v>3</v>
      </c>
      <c r="R83" s="31" t="s">
        <v>3</v>
      </c>
      <c r="S83" s="31" t="s">
        <v>3</v>
      </c>
      <c r="T83" s="31" t="s">
        <v>3</v>
      </c>
      <c r="U83" s="31" t="s">
        <v>3</v>
      </c>
      <c r="V83" s="31" t="s">
        <v>3</v>
      </c>
      <c r="W83" s="31" t="s">
        <v>3</v>
      </c>
      <c r="X83" s="31" t="s">
        <v>3</v>
      </c>
      <c r="Y83" s="31" t="s">
        <v>3</v>
      </c>
      <c r="Z83" s="31" t="s">
        <v>3</v>
      </c>
      <c r="AA83" s="31" t="s">
        <v>3</v>
      </c>
      <c r="AB83" s="31" t="s">
        <v>3</v>
      </c>
      <c r="AC83" s="31" t="s">
        <v>3</v>
      </c>
      <c r="AD83" s="31" t="s">
        <v>3</v>
      </c>
      <c r="AE83" s="31" t="s">
        <v>3</v>
      </c>
      <c r="AF83" s="31" t="s">
        <v>3</v>
      </c>
      <c r="AG83" s="31" t="s">
        <v>3</v>
      </c>
      <c r="AH83" s="31" t="s">
        <v>3</v>
      </c>
      <c r="AI83" s="31" t="s">
        <v>3</v>
      </c>
    </row>
    <row r="84" spans="1:35" ht="15.75" x14ac:dyDescent="0.25">
      <c r="A84" s="1"/>
      <c r="B84" s="1"/>
      <c r="E84" s="9"/>
      <c r="F84" s="51">
        <v>1</v>
      </c>
      <c r="G84" s="51">
        <v>2</v>
      </c>
      <c r="H84" s="51">
        <v>3</v>
      </c>
      <c r="I84" s="51">
        <v>4</v>
      </c>
      <c r="J84" s="51">
        <v>5</v>
      </c>
      <c r="K84" s="51">
        <v>6</v>
      </c>
      <c r="L84" s="51">
        <v>7</v>
      </c>
      <c r="M84" s="51">
        <v>8</v>
      </c>
      <c r="N84" s="51">
        <v>9</v>
      </c>
      <c r="O84" s="51">
        <v>10</v>
      </c>
      <c r="P84" s="51">
        <v>11</v>
      </c>
      <c r="Q84" s="51">
        <v>12</v>
      </c>
      <c r="R84" s="51">
        <v>13</v>
      </c>
      <c r="S84" s="51">
        <v>14</v>
      </c>
      <c r="T84" s="51">
        <v>15</v>
      </c>
      <c r="U84" s="51">
        <v>16</v>
      </c>
      <c r="V84" s="51">
        <v>17</v>
      </c>
      <c r="W84" s="51">
        <v>18</v>
      </c>
      <c r="X84" s="51">
        <v>19</v>
      </c>
      <c r="Y84" s="51">
        <v>20</v>
      </c>
      <c r="Z84" s="51">
        <v>21</v>
      </c>
      <c r="AA84" s="51">
        <v>22</v>
      </c>
      <c r="AB84" s="51">
        <v>23</v>
      </c>
      <c r="AC84" s="51">
        <v>24</v>
      </c>
      <c r="AD84" s="51">
        <v>25</v>
      </c>
      <c r="AE84" s="51">
        <v>26</v>
      </c>
      <c r="AF84" s="51">
        <v>27</v>
      </c>
      <c r="AG84" s="51">
        <v>28</v>
      </c>
      <c r="AH84" s="51">
        <v>29</v>
      </c>
      <c r="AI84" s="51">
        <v>30</v>
      </c>
    </row>
    <row r="85" spans="1:35" x14ac:dyDescent="0.2">
      <c r="A85" s="2" t="s">
        <v>41</v>
      </c>
      <c r="E85" s="9"/>
      <c r="F85" s="9">
        <f>LoanAmount</f>
        <v>932400</v>
      </c>
      <c r="G85" s="9">
        <f>F89</f>
        <v>861660.7157553141</v>
      </c>
      <c r="H85" s="9">
        <f t="shared" ref="H85:AI85" si="29">G89</f>
        <v>786677.07445594703</v>
      </c>
      <c r="I85" s="9">
        <f t="shared" si="29"/>
        <v>707194.41467861796</v>
      </c>
      <c r="J85" s="9">
        <f t="shared" si="29"/>
        <v>622942.79531464912</v>
      </c>
      <c r="K85" s="9">
        <f t="shared" si="29"/>
        <v>533636.07878884219</v>
      </c>
      <c r="L85" s="9">
        <f t="shared" si="29"/>
        <v>438970.95927148685</v>
      </c>
      <c r="M85" s="9">
        <f t="shared" si="29"/>
        <v>338625.93258309015</v>
      </c>
      <c r="N85" s="9">
        <f t="shared" si="29"/>
        <v>232260.20429338966</v>
      </c>
      <c r="O85" s="9">
        <f t="shared" si="29"/>
        <v>119512.53230630714</v>
      </c>
      <c r="P85" s="9">
        <f t="shared" si="29"/>
        <v>-3.3469405025243759E-10</v>
      </c>
      <c r="Q85" s="9">
        <f t="shared" si="29"/>
        <v>-3.3469405025243759E-10</v>
      </c>
      <c r="R85" s="9">
        <f t="shared" si="29"/>
        <v>-3.3469405025243759E-10</v>
      </c>
      <c r="S85" s="9">
        <f t="shared" si="29"/>
        <v>-3.3469405025243759E-10</v>
      </c>
      <c r="T85" s="9">
        <f t="shared" si="29"/>
        <v>-3.3469405025243759E-10</v>
      </c>
      <c r="U85" s="9">
        <f t="shared" si="29"/>
        <v>-3.3469405025243759E-10</v>
      </c>
      <c r="V85" s="9">
        <f t="shared" si="29"/>
        <v>-3.3469405025243759E-10</v>
      </c>
      <c r="W85" s="9">
        <f t="shared" si="29"/>
        <v>-3.3469405025243759E-10</v>
      </c>
      <c r="X85" s="9">
        <f t="shared" si="29"/>
        <v>-3.3469405025243759E-10</v>
      </c>
      <c r="Y85" s="9">
        <f t="shared" si="29"/>
        <v>-3.3469405025243759E-10</v>
      </c>
      <c r="Z85" s="9">
        <f t="shared" si="29"/>
        <v>-3.3469405025243759E-10</v>
      </c>
      <c r="AA85" s="9">
        <f t="shared" si="29"/>
        <v>-3.3469405025243759E-10</v>
      </c>
      <c r="AB85" s="9">
        <f t="shared" si="29"/>
        <v>-3.3469405025243759E-10</v>
      </c>
      <c r="AC85" s="9">
        <f t="shared" si="29"/>
        <v>-3.3469405025243759E-10</v>
      </c>
      <c r="AD85" s="9">
        <f t="shared" si="29"/>
        <v>-3.3469405025243759E-10</v>
      </c>
      <c r="AE85" s="9">
        <f t="shared" si="29"/>
        <v>-3.3469405025243759E-10</v>
      </c>
      <c r="AF85" s="9">
        <f t="shared" si="29"/>
        <v>-3.3469405025243759E-10</v>
      </c>
      <c r="AG85" s="9">
        <f t="shared" si="29"/>
        <v>-3.3469405025243759E-10</v>
      </c>
      <c r="AH85" s="9">
        <f t="shared" si="29"/>
        <v>-3.3469405025243759E-10</v>
      </c>
      <c r="AI85" s="9">
        <f t="shared" si="29"/>
        <v>-3.3469405025243759E-10</v>
      </c>
    </row>
    <row r="86" spans="1:35" x14ac:dyDescent="0.2">
      <c r="A86" s="2" t="s">
        <v>42</v>
      </c>
      <c r="E86" s="9"/>
      <c r="F86" s="9">
        <f t="shared" ref="F86:AI86" si="30">IF(ProjectYear&lt;=LoanTerm,PMT(LoanInterest,LoanTerm,LoanAmount),0)</f>
        <v>-126683.2842446859</v>
      </c>
      <c r="G86" s="9">
        <f t="shared" si="30"/>
        <v>-126683.2842446859</v>
      </c>
      <c r="H86" s="9">
        <f t="shared" si="30"/>
        <v>-126683.2842446859</v>
      </c>
      <c r="I86" s="9">
        <f t="shared" si="30"/>
        <v>-126683.2842446859</v>
      </c>
      <c r="J86" s="9">
        <f t="shared" si="30"/>
        <v>-126683.2842446859</v>
      </c>
      <c r="K86" s="9">
        <f t="shared" si="30"/>
        <v>-126683.2842446859</v>
      </c>
      <c r="L86" s="9">
        <f t="shared" si="30"/>
        <v>-126683.2842446859</v>
      </c>
      <c r="M86" s="9">
        <f t="shared" si="30"/>
        <v>-126683.2842446859</v>
      </c>
      <c r="N86" s="9">
        <f t="shared" si="30"/>
        <v>-126683.2842446859</v>
      </c>
      <c r="O86" s="9">
        <f t="shared" si="30"/>
        <v>-126683.2842446859</v>
      </c>
      <c r="P86" s="9">
        <f t="shared" si="30"/>
        <v>0</v>
      </c>
      <c r="Q86" s="9">
        <f t="shared" si="30"/>
        <v>0</v>
      </c>
      <c r="R86" s="9">
        <f t="shared" si="30"/>
        <v>0</v>
      </c>
      <c r="S86" s="9">
        <f t="shared" si="30"/>
        <v>0</v>
      </c>
      <c r="T86" s="9">
        <f t="shared" si="30"/>
        <v>0</v>
      </c>
      <c r="U86" s="9">
        <f t="shared" si="30"/>
        <v>0</v>
      </c>
      <c r="V86" s="9">
        <f t="shared" si="30"/>
        <v>0</v>
      </c>
      <c r="W86" s="9">
        <f t="shared" si="30"/>
        <v>0</v>
      </c>
      <c r="X86" s="9">
        <f t="shared" si="30"/>
        <v>0</v>
      </c>
      <c r="Y86" s="9">
        <f t="shared" si="30"/>
        <v>0</v>
      </c>
      <c r="Z86" s="9">
        <f t="shared" si="30"/>
        <v>0</v>
      </c>
      <c r="AA86" s="9">
        <f t="shared" si="30"/>
        <v>0</v>
      </c>
      <c r="AB86" s="9">
        <f t="shared" si="30"/>
        <v>0</v>
      </c>
      <c r="AC86" s="9">
        <f t="shared" si="30"/>
        <v>0</v>
      </c>
      <c r="AD86" s="9">
        <f t="shared" si="30"/>
        <v>0</v>
      </c>
      <c r="AE86" s="9">
        <f t="shared" si="30"/>
        <v>0</v>
      </c>
      <c r="AF86" s="9">
        <f t="shared" si="30"/>
        <v>0</v>
      </c>
      <c r="AG86" s="9">
        <f t="shared" si="30"/>
        <v>0</v>
      </c>
      <c r="AH86" s="9">
        <f t="shared" si="30"/>
        <v>0</v>
      </c>
      <c r="AI86" s="9">
        <f t="shared" si="30"/>
        <v>0</v>
      </c>
    </row>
    <row r="87" spans="1:35" x14ac:dyDescent="0.2">
      <c r="A87" s="2" t="s">
        <v>43</v>
      </c>
      <c r="E87" s="9"/>
      <c r="F87" s="9">
        <f t="shared" ref="F87:AI87" si="31">DebtService-Interest</f>
        <v>-70739.284244685899</v>
      </c>
      <c r="G87" s="9">
        <f t="shared" si="31"/>
        <v>-74983.641299367053</v>
      </c>
      <c r="H87" s="9">
        <f t="shared" si="31"/>
        <v>-79482.65977732907</v>
      </c>
      <c r="I87" s="9">
        <f t="shared" si="31"/>
        <v>-84251.619363968814</v>
      </c>
      <c r="J87" s="9">
        <f t="shared" si="31"/>
        <v>-89306.716525806958</v>
      </c>
      <c r="K87" s="9">
        <f t="shared" si="31"/>
        <v>-94665.119517355371</v>
      </c>
      <c r="L87" s="9">
        <f t="shared" si="31"/>
        <v>-100345.0266883967</v>
      </c>
      <c r="M87" s="9">
        <f t="shared" si="31"/>
        <v>-106365.72828970049</v>
      </c>
      <c r="N87" s="9">
        <f t="shared" si="31"/>
        <v>-112747.67198708252</v>
      </c>
      <c r="O87" s="9">
        <f t="shared" si="31"/>
        <v>-119512.53230630748</v>
      </c>
      <c r="P87" s="9">
        <f t="shared" si="31"/>
        <v>0</v>
      </c>
      <c r="Q87" s="9">
        <f t="shared" si="31"/>
        <v>0</v>
      </c>
      <c r="R87" s="9">
        <f t="shared" si="31"/>
        <v>0</v>
      </c>
      <c r="S87" s="9">
        <f t="shared" si="31"/>
        <v>0</v>
      </c>
      <c r="T87" s="9">
        <f t="shared" si="31"/>
        <v>0</v>
      </c>
      <c r="U87" s="9">
        <f t="shared" si="31"/>
        <v>0</v>
      </c>
      <c r="V87" s="9">
        <f t="shared" si="31"/>
        <v>0</v>
      </c>
      <c r="W87" s="9">
        <f t="shared" si="31"/>
        <v>0</v>
      </c>
      <c r="X87" s="9">
        <f t="shared" si="31"/>
        <v>0</v>
      </c>
      <c r="Y87" s="9">
        <f t="shared" si="31"/>
        <v>0</v>
      </c>
      <c r="Z87" s="9">
        <f t="shared" si="31"/>
        <v>0</v>
      </c>
      <c r="AA87" s="9">
        <f t="shared" si="31"/>
        <v>0</v>
      </c>
      <c r="AB87" s="9">
        <f t="shared" si="31"/>
        <v>0</v>
      </c>
      <c r="AC87" s="9">
        <f t="shared" si="31"/>
        <v>0</v>
      </c>
      <c r="AD87" s="9">
        <f t="shared" si="31"/>
        <v>0</v>
      </c>
      <c r="AE87" s="9">
        <f t="shared" si="31"/>
        <v>0</v>
      </c>
      <c r="AF87" s="9">
        <f t="shared" si="31"/>
        <v>0</v>
      </c>
      <c r="AG87" s="9">
        <f t="shared" si="31"/>
        <v>0</v>
      </c>
      <c r="AH87" s="9">
        <f t="shared" si="31"/>
        <v>0</v>
      </c>
      <c r="AI87" s="9">
        <f t="shared" si="31"/>
        <v>0</v>
      </c>
    </row>
    <row r="88" spans="1:35" x14ac:dyDescent="0.2">
      <c r="A88" s="2" t="s">
        <v>44</v>
      </c>
      <c r="E88" s="9"/>
      <c r="F88" s="9">
        <f t="shared" ref="F88:AI88" si="32">IF(ProjectYear&lt;=LoanTerm,-BegLoanBal*LoanInterest,0)</f>
        <v>-55944</v>
      </c>
      <c r="G88" s="9">
        <f t="shared" si="32"/>
        <v>-51699.642945318847</v>
      </c>
      <c r="H88" s="9">
        <f t="shared" si="32"/>
        <v>-47200.624467356822</v>
      </c>
      <c r="I88" s="9">
        <f t="shared" si="32"/>
        <v>-42431.664880717079</v>
      </c>
      <c r="J88" s="9">
        <f t="shared" si="32"/>
        <v>-37376.567718878949</v>
      </c>
      <c r="K88" s="9">
        <f t="shared" si="32"/>
        <v>-32018.164727330532</v>
      </c>
      <c r="L88" s="9">
        <f t="shared" si="32"/>
        <v>-26338.257556289209</v>
      </c>
      <c r="M88" s="9">
        <f t="shared" si="32"/>
        <v>-20317.555954985408</v>
      </c>
      <c r="N88" s="9">
        <f t="shared" si="32"/>
        <v>-13935.612257603379</v>
      </c>
      <c r="O88" s="9">
        <f t="shared" si="32"/>
        <v>-7170.7519383784283</v>
      </c>
      <c r="P88" s="9">
        <f t="shared" si="32"/>
        <v>0</v>
      </c>
      <c r="Q88" s="9">
        <f t="shared" si="32"/>
        <v>0</v>
      </c>
      <c r="R88" s="9">
        <f t="shared" si="32"/>
        <v>0</v>
      </c>
      <c r="S88" s="9">
        <f t="shared" si="32"/>
        <v>0</v>
      </c>
      <c r="T88" s="9">
        <f t="shared" si="32"/>
        <v>0</v>
      </c>
      <c r="U88" s="9">
        <f t="shared" si="32"/>
        <v>0</v>
      </c>
      <c r="V88" s="9">
        <f t="shared" si="32"/>
        <v>0</v>
      </c>
      <c r="W88" s="9">
        <f t="shared" si="32"/>
        <v>0</v>
      </c>
      <c r="X88" s="9">
        <f t="shared" si="32"/>
        <v>0</v>
      </c>
      <c r="Y88" s="9">
        <f t="shared" si="32"/>
        <v>0</v>
      </c>
      <c r="Z88" s="9">
        <f t="shared" si="32"/>
        <v>0</v>
      </c>
      <c r="AA88" s="9">
        <f t="shared" si="32"/>
        <v>0</v>
      </c>
      <c r="AB88" s="9">
        <f t="shared" si="32"/>
        <v>0</v>
      </c>
      <c r="AC88" s="9">
        <f t="shared" si="32"/>
        <v>0</v>
      </c>
      <c r="AD88" s="9">
        <f t="shared" si="32"/>
        <v>0</v>
      </c>
      <c r="AE88" s="9">
        <f t="shared" si="32"/>
        <v>0</v>
      </c>
      <c r="AF88" s="9">
        <f t="shared" si="32"/>
        <v>0</v>
      </c>
      <c r="AG88" s="9">
        <f t="shared" si="32"/>
        <v>0</v>
      </c>
      <c r="AH88" s="9">
        <f t="shared" si="32"/>
        <v>0</v>
      </c>
      <c r="AI88" s="9">
        <f t="shared" si="32"/>
        <v>0</v>
      </c>
    </row>
    <row r="89" spans="1:35" s="1" customFormat="1" ht="15.75" x14ac:dyDescent="0.25">
      <c r="A89" s="1" t="s">
        <v>45</v>
      </c>
      <c r="C89" s="60"/>
      <c r="E89" s="60"/>
      <c r="F89" s="60">
        <f t="shared" ref="F89:AI89" si="33">BegLoanBal+Principle</f>
        <v>861660.7157553141</v>
      </c>
      <c r="G89" s="60">
        <f t="shared" si="33"/>
        <v>786677.07445594703</v>
      </c>
      <c r="H89" s="60">
        <f t="shared" si="33"/>
        <v>707194.41467861796</v>
      </c>
      <c r="I89" s="60">
        <f t="shared" si="33"/>
        <v>622942.79531464912</v>
      </c>
      <c r="J89" s="60">
        <f t="shared" si="33"/>
        <v>533636.07878884219</v>
      </c>
      <c r="K89" s="60">
        <f t="shared" si="33"/>
        <v>438970.95927148685</v>
      </c>
      <c r="L89" s="60">
        <f t="shared" si="33"/>
        <v>338625.93258309015</v>
      </c>
      <c r="M89" s="60">
        <f t="shared" si="33"/>
        <v>232260.20429338966</v>
      </c>
      <c r="N89" s="60">
        <f t="shared" si="33"/>
        <v>119512.53230630714</v>
      </c>
      <c r="O89" s="60">
        <f t="shared" si="33"/>
        <v>-3.3469405025243759E-10</v>
      </c>
      <c r="P89" s="60">
        <f t="shared" si="33"/>
        <v>-3.3469405025243759E-10</v>
      </c>
      <c r="Q89" s="60">
        <f t="shared" si="33"/>
        <v>-3.3469405025243759E-10</v>
      </c>
      <c r="R89" s="60">
        <f t="shared" si="33"/>
        <v>-3.3469405025243759E-10</v>
      </c>
      <c r="S89" s="60">
        <f t="shared" si="33"/>
        <v>-3.3469405025243759E-10</v>
      </c>
      <c r="T89" s="60">
        <f t="shared" si="33"/>
        <v>-3.3469405025243759E-10</v>
      </c>
      <c r="U89" s="60">
        <f t="shared" si="33"/>
        <v>-3.3469405025243759E-10</v>
      </c>
      <c r="V89" s="60">
        <f t="shared" si="33"/>
        <v>-3.3469405025243759E-10</v>
      </c>
      <c r="W89" s="60">
        <f t="shared" si="33"/>
        <v>-3.3469405025243759E-10</v>
      </c>
      <c r="X89" s="60">
        <f t="shared" si="33"/>
        <v>-3.3469405025243759E-10</v>
      </c>
      <c r="Y89" s="60">
        <f t="shared" si="33"/>
        <v>-3.3469405025243759E-10</v>
      </c>
      <c r="Z89" s="60">
        <f t="shared" si="33"/>
        <v>-3.3469405025243759E-10</v>
      </c>
      <c r="AA89" s="60">
        <f t="shared" si="33"/>
        <v>-3.3469405025243759E-10</v>
      </c>
      <c r="AB89" s="60">
        <f t="shared" si="33"/>
        <v>-3.3469405025243759E-10</v>
      </c>
      <c r="AC89" s="60">
        <f t="shared" si="33"/>
        <v>-3.3469405025243759E-10</v>
      </c>
      <c r="AD89" s="60">
        <f t="shared" si="33"/>
        <v>-3.3469405025243759E-10</v>
      </c>
      <c r="AE89" s="60">
        <f t="shared" si="33"/>
        <v>-3.3469405025243759E-10</v>
      </c>
      <c r="AF89" s="60">
        <f t="shared" si="33"/>
        <v>-3.3469405025243759E-10</v>
      </c>
      <c r="AG89" s="60">
        <f t="shared" si="33"/>
        <v>-3.3469405025243759E-10</v>
      </c>
      <c r="AH89" s="60">
        <f t="shared" si="33"/>
        <v>-3.3469405025243759E-10</v>
      </c>
      <c r="AI89" s="60">
        <f t="shared" si="33"/>
        <v>-3.3469405025243759E-10</v>
      </c>
    </row>
    <row r="90" spans="1:35" s="1" customFormat="1" ht="15.75" x14ac:dyDescent="0.25">
      <c r="C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row>
    <row r="91" spans="1:35" s="21" customFormat="1" ht="23.25" x14ac:dyDescent="0.35">
      <c r="A91" s="156" t="s">
        <v>136</v>
      </c>
      <c r="B91" s="135"/>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row>
    <row r="92" spans="1:35" s="5" customFormat="1" ht="17.25" customHeight="1" x14ac:dyDescent="0.3">
      <c r="A92" s="157" t="s">
        <v>68</v>
      </c>
      <c r="B92" s="141"/>
      <c r="C92" s="122"/>
      <c r="D92" s="137"/>
      <c r="E92" s="122"/>
      <c r="F92" s="142"/>
      <c r="G92" s="143"/>
      <c r="H92" s="143"/>
      <c r="I92" s="143"/>
      <c r="J92" s="143"/>
      <c r="K92" s="143"/>
      <c r="L92" s="143"/>
      <c r="M92" s="143"/>
      <c r="N92" s="143"/>
      <c r="O92" s="143"/>
      <c r="P92" s="143"/>
      <c r="Q92" s="143"/>
      <c r="R92" s="143"/>
      <c r="S92" s="143"/>
      <c r="T92" s="143"/>
      <c r="U92" s="143"/>
      <c r="V92" s="133"/>
      <c r="W92" s="143"/>
      <c r="X92" s="143"/>
      <c r="Y92" s="143"/>
      <c r="Z92" s="143"/>
      <c r="AA92" s="143"/>
      <c r="AB92" s="143"/>
      <c r="AC92" s="143"/>
      <c r="AD92" s="143"/>
      <c r="AE92" s="143"/>
      <c r="AF92" s="143"/>
      <c r="AG92" s="143"/>
      <c r="AH92" s="143"/>
      <c r="AI92" s="143"/>
    </row>
    <row r="93" spans="1:35" s="5" customFormat="1" ht="18" customHeight="1" x14ac:dyDescent="0.25">
      <c r="A93" s="144" t="s">
        <v>52</v>
      </c>
      <c r="B93" s="144"/>
      <c r="C93" s="122"/>
      <c r="D93" s="137"/>
      <c r="E93" s="122"/>
      <c r="F93" s="145"/>
      <c r="G93" s="143"/>
      <c r="H93" s="143"/>
      <c r="I93" s="143"/>
      <c r="J93" s="143"/>
      <c r="K93" s="143"/>
      <c r="L93" s="143"/>
      <c r="M93" s="143"/>
      <c r="N93" s="143"/>
      <c r="O93" s="143"/>
      <c r="P93" s="143"/>
      <c r="Q93" s="143"/>
      <c r="R93" s="143"/>
      <c r="S93" s="143"/>
      <c r="T93" s="143"/>
      <c r="U93" s="143"/>
      <c r="V93" s="133"/>
      <c r="W93" s="143"/>
      <c r="X93" s="143"/>
      <c r="Y93" s="143"/>
      <c r="Z93" s="143"/>
      <c r="AA93" s="143"/>
      <c r="AB93" s="143"/>
      <c r="AC93" s="143"/>
      <c r="AD93" s="143"/>
      <c r="AE93" s="143"/>
      <c r="AF93" s="143"/>
      <c r="AG93" s="143"/>
      <c r="AH93" s="143"/>
      <c r="AI93" s="143"/>
    </row>
    <row r="94" spans="1:35" s="5" customFormat="1" ht="18" customHeight="1" x14ac:dyDescent="0.25">
      <c r="A94" s="146" t="s">
        <v>111</v>
      </c>
      <c r="B94" s="146"/>
      <c r="C94" s="122"/>
      <c r="D94" s="137"/>
      <c r="E94" s="122"/>
      <c r="F94" s="133">
        <f t="shared" ref="F94:AI94" si="34">Generation*F$47*elecRev*(1+ElecRevAdj)^E$44</f>
        <v>0</v>
      </c>
      <c r="G94" s="133">
        <f t="shared" si="34"/>
        <v>0</v>
      </c>
      <c r="H94" s="133">
        <f t="shared" si="34"/>
        <v>0</v>
      </c>
      <c r="I94" s="133">
        <f t="shared" si="34"/>
        <v>0</v>
      </c>
      <c r="J94" s="133">
        <f t="shared" si="34"/>
        <v>0</v>
      </c>
      <c r="K94" s="133">
        <f t="shared" si="34"/>
        <v>0</v>
      </c>
      <c r="L94" s="133">
        <f t="shared" si="34"/>
        <v>0</v>
      </c>
      <c r="M94" s="133">
        <f t="shared" si="34"/>
        <v>0</v>
      </c>
      <c r="N94" s="133">
        <f t="shared" si="34"/>
        <v>0</v>
      </c>
      <c r="O94" s="133">
        <f t="shared" si="34"/>
        <v>0</v>
      </c>
      <c r="P94" s="133">
        <f t="shared" si="34"/>
        <v>202618.70311153823</v>
      </c>
      <c r="Q94" s="133">
        <f t="shared" si="34"/>
        <v>205637.72178790014</v>
      </c>
      <c r="R94" s="133">
        <f t="shared" si="34"/>
        <v>208701.72384253988</v>
      </c>
      <c r="S94" s="133">
        <f t="shared" si="34"/>
        <v>211811.37952779367</v>
      </c>
      <c r="T94" s="133">
        <f t="shared" si="34"/>
        <v>214967.36908275788</v>
      </c>
      <c r="U94" s="133">
        <f t="shared" si="34"/>
        <v>218170.38288209087</v>
      </c>
      <c r="V94" s="133">
        <f t="shared" si="34"/>
        <v>221421.12158703408</v>
      </c>
      <c r="W94" s="133">
        <f t="shared" si="34"/>
        <v>224720.29629868091</v>
      </c>
      <c r="X94" s="133">
        <f t="shared" si="34"/>
        <v>228068.62871353122</v>
      </c>
      <c r="Y94" s="133">
        <f t="shared" si="34"/>
        <v>231466.85128136279</v>
      </c>
      <c r="Z94" s="133">
        <f t="shared" si="34"/>
        <v>234915.70736545511</v>
      </c>
      <c r="AA94" s="133">
        <f t="shared" si="34"/>
        <v>238415.95140520038</v>
      </c>
      <c r="AB94" s="133">
        <f t="shared" si="34"/>
        <v>241968.34908113792</v>
      </c>
      <c r="AC94" s="133">
        <f t="shared" si="34"/>
        <v>245573.6774824468</v>
      </c>
      <c r="AD94" s="133">
        <f t="shared" si="34"/>
        <v>249232.72527693523</v>
      </c>
      <c r="AE94" s="133">
        <f t="shared" si="34"/>
        <v>0</v>
      </c>
      <c r="AF94" s="133">
        <f t="shared" si="34"/>
        <v>0</v>
      </c>
      <c r="AG94" s="133">
        <f t="shared" si="34"/>
        <v>0</v>
      </c>
      <c r="AH94" s="133">
        <f t="shared" si="34"/>
        <v>0</v>
      </c>
      <c r="AI94" s="133">
        <f t="shared" si="34"/>
        <v>0</v>
      </c>
    </row>
    <row r="95" spans="1:35" s="5" customFormat="1" ht="18" customHeight="1" x14ac:dyDescent="0.25">
      <c r="A95" s="146" t="s">
        <v>124</v>
      </c>
      <c r="B95" s="146"/>
      <c r="C95" s="122"/>
      <c r="D95" s="137"/>
      <c r="E95" s="122"/>
      <c r="F95" s="133">
        <f t="shared" ref="F95:AI95" si="35">IF($B$27&gt;=F$44,Generation*F$47*$B$26,F$94)</f>
        <v>0</v>
      </c>
      <c r="G95" s="133">
        <f t="shared" si="35"/>
        <v>0</v>
      </c>
      <c r="H95" s="133">
        <f t="shared" si="35"/>
        <v>0</v>
      </c>
      <c r="I95" s="133">
        <f t="shared" si="35"/>
        <v>0</v>
      </c>
      <c r="J95" s="133">
        <f t="shared" si="35"/>
        <v>0</v>
      </c>
      <c r="K95" s="133">
        <f t="shared" si="35"/>
        <v>0</v>
      </c>
      <c r="L95" s="133">
        <f t="shared" si="35"/>
        <v>0</v>
      </c>
      <c r="M95" s="133">
        <f t="shared" si="35"/>
        <v>0</v>
      </c>
      <c r="N95" s="133">
        <f t="shared" si="35"/>
        <v>0</v>
      </c>
      <c r="O95" s="133">
        <f t="shared" si="35"/>
        <v>0</v>
      </c>
      <c r="P95" s="133">
        <f t="shared" si="35"/>
        <v>221623.87816061234</v>
      </c>
      <c r="Q95" s="133">
        <f t="shared" si="35"/>
        <v>220515.75876980927</v>
      </c>
      <c r="R95" s="133">
        <f t="shared" si="35"/>
        <v>219413.17997596023</v>
      </c>
      <c r="S95" s="133">
        <f t="shared" si="35"/>
        <v>218316.11407608041</v>
      </c>
      <c r="T95" s="133">
        <f t="shared" si="35"/>
        <v>217224.53350570003</v>
      </c>
      <c r="U95" s="133">
        <f t="shared" si="35"/>
        <v>216138.41083817152</v>
      </c>
      <c r="V95" s="133">
        <f t="shared" si="35"/>
        <v>215057.71878398067</v>
      </c>
      <c r="W95" s="133">
        <f t="shared" si="35"/>
        <v>213982.43019006075</v>
      </c>
      <c r="X95" s="133">
        <f t="shared" si="35"/>
        <v>212912.51803911047</v>
      </c>
      <c r="Y95" s="133">
        <f t="shared" si="35"/>
        <v>211847.9554489149</v>
      </c>
      <c r="Z95" s="133">
        <f t="shared" si="35"/>
        <v>234915.70736545511</v>
      </c>
      <c r="AA95" s="133">
        <f t="shared" si="35"/>
        <v>238415.95140520038</v>
      </c>
      <c r="AB95" s="133">
        <f t="shared" si="35"/>
        <v>241968.34908113792</v>
      </c>
      <c r="AC95" s="133">
        <f t="shared" si="35"/>
        <v>245573.6774824468</v>
      </c>
      <c r="AD95" s="133">
        <f t="shared" si="35"/>
        <v>249232.72527693523</v>
      </c>
      <c r="AE95" s="133">
        <f t="shared" si="35"/>
        <v>0</v>
      </c>
      <c r="AF95" s="133">
        <f t="shared" si="35"/>
        <v>0</v>
      </c>
      <c r="AG95" s="133">
        <f t="shared" si="35"/>
        <v>0</v>
      </c>
      <c r="AH95" s="133">
        <f t="shared" si="35"/>
        <v>0</v>
      </c>
      <c r="AI95" s="133">
        <f t="shared" si="35"/>
        <v>0</v>
      </c>
    </row>
    <row r="96" spans="1:35" s="5" customFormat="1" ht="18" customHeight="1" x14ac:dyDescent="0.25">
      <c r="A96" s="147" t="s">
        <v>15</v>
      </c>
      <c r="B96" s="147"/>
      <c r="C96" s="148"/>
      <c r="D96" s="137"/>
      <c r="E96" s="122"/>
      <c r="F96" s="122">
        <f t="shared" ref="F96:AI96" si="36">IF(F$44&gt;$B$27,$B$28*F$47*F$45/1000,0)</f>
        <v>0</v>
      </c>
      <c r="G96" s="122">
        <f t="shared" si="36"/>
        <v>0</v>
      </c>
      <c r="H96" s="122">
        <f t="shared" si="36"/>
        <v>0</v>
      </c>
      <c r="I96" s="122">
        <f t="shared" si="36"/>
        <v>0</v>
      </c>
      <c r="J96" s="122">
        <f t="shared" si="36"/>
        <v>0</v>
      </c>
      <c r="K96" s="122">
        <f t="shared" si="36"/>
        <v>0</v>
      </c>
      <c r="L96" s="122">
        <f t="shared" si="36"/>
        <v>0</v>
      </c>
      <c r="M96" s="122">
        <f t="shared" si="36"/>
        <v>0</v>
      </c>
      <c r="N96" s="122">
        <f t="shared" si="36"/>
        <v>0</v>
      </c>
      <c r="O96" s="122">
        <f t="shared" si="36"/>
        <v>0</v>
      </c>
      <c r="P96" s="122">
        <f t="shared" si="36"/>
        <v>0</v>
      </c>
      <c r="Q96" s="122">
        <f t="shared" si="36"/>
        <v>0</v>
      </c>
      <c r="R96" s="122">
        <f t="shared" si="36"/>
        <v>0</v>
      </c>
      <c r="S96" s="122">
        <f t="shared" si="36"/>
        <v>0</v>
      </c>
      <c r="T96" s="122">
        <f t="shared" si="36"/>
        <v>0</v>
      </c>
      <c r="U96" s="122">
        <f t="shared" si="36"/>
        <v>0</v>
      </c>
      <c r="V96" s="122">
        <f t="shared" si="36"/>
        <v>0</v>
      </c>
      <c r="W96" s="122">
        <f t="shared" si="36"/>
        <v>0</v>
      </c>
      <c r="X96" s="122">
        <f t="shared" si="36"/>
        <v>0</v>
      </c>
      <c r="Y96" s="122">
        <f t="shared" si="36"/>
        <v>0</v>
      </c>
      <c r="Z96" s="122">
        <f t="shared" si="36"/>
        <v>26348.589458958784</v>
      </c>
      <c r="AA96" s="122">
        <f t="shared" si="36"/>
        <v>26216.846511663993</v>
      </c>
      <c r="AB96" s="122">
        <f t="shared" si="36"/>
        <v>26085.762279105671</v>
      </c>
      <c r="AC96" s="122">
        <f t="shared" si="36"/>
        <v>25955.333467710145</v>
      </c>
      <c r="AD96" s="122">
        <f t="shared" si="36"/>
        <v>25825.556800371593</v>
      </c>
      <c r="AE96" s="122">
        <f t="shared" si="36"/>
        <v>0</v>
      </c>
      <c r="AF96" s="122">
        <f t="shared" si="36"/>
        <v>0</v>
      </c>
      <c r="AG96" s="122">
        <f t="shared" si="36"/>
        <v>0</v>
      </c>
      <c r="AH96" s="122">
        <f t="shared" si="36"/>
        <v>0</v>
      </c>
      <c r="AI96" s="122">
        <f t="shared" si="36"/>
        <v>0</v>
      </c>
    </row>
    <row r="97" spans="1:35" s="5" customFormat="1" ht="18" customHeight="1" x14ac:dyDescent="0.25">
      <c r="A97" s="146" t="s">
        <v>97</v>
      </c>
      <c r="B97" s="146"/>
      <c r="C97" s="122"/>
      <c r="D97" s="137"/>
      <c r="E97" s="122"/>
      <c r="F97" s="133">
        <f t="shared" ref="F97:AI97" si="37">-($B$36*F94)*F$47</f>
        <v>0</v>
      </c>
      <c r="G97" s="133">
        <f t="shared" si="37"/>
        <v>0</v>
      </c>
      <c r="H97" s="133">
        <f t="shared" si="37"/>
        <v>0</v>
      </c>
      <c r="I97" s="133">
        <f t="shared" si="37"/>
        <v>0</v>
      </c>
      <c r="J97" s="133">
        <f t="shared" si="37"/>
        <v>0</v>
      </c>
      <c r="K97" s="133">
        <f t="shared" si="37"/>
        <v>0</v>
      </c>
      <c r="L97" s="133">
        <f t="shared" si="37"/>
        <v>0</v>
      </c>
      <c r="M97" s="133">
        <f t="shared" si="37"/>
        <v>0</v>
      </c>
      <c r="N97" s="133">
        <f t="shared" si="37"/>
        <v>0</v>
      </c>
      <c r="O97" s="133">
        <f t="shared" si="37"/>
        <v>0</v>
      </c>
      <c r="P97" s="133">
        <f t="shared" si="37"/>
        <v>-20261.870311153823</v>
      </c>
      <c r="Q97" s="133">
        <f t="shared" si="37"/>
        <v>-20563.772178790015</v>
      </c>
      <c r="R97" s="133">
        <f t="shared" si="37"/>
        <v>-20870.17238425399</v>
      </c>
      <c r="S97" s="133">
        <f t="shared" si="37"/>
        <v>-21181.137952779369</v>
      </c>
      <c r="T97" s="133">
        <f t="shared" si="37"/>
        <v>-21496.73690827579</v>
      </c>
      <c r="U97" s="133">
        <f t="shared" si="37"/>
        <v>-21817.038288209089</v>
      </c>
      <c r="V97" s="133">
        <f t="shared" si="37"/>
        <v>-22142.11215870341</v>
      </c>
      <c r="W97" s="133">
        <f t="shared" si="37"/>
        <v>-22472.029629868091</v>
      </c>
      <c r="X97" s="133">
        <f t="shared" si="37"/>
        <v>-22806.862871353122</v>
      </c>
      <c r="Y97" s="133">
        <f t="shared" si="37"/>
        <v>-23146.68512813628</v>
      </c>
      <c r="Z97" s="133">
        <f t="shared" si="37"/>
        <v>-23491.570736545513</v>
      </c>
      <c r="AA97" s="133">
        <f t="shared" si="37"/>
        <v>-23841.595140520039</v>
      </c>
      <c r="AB97" s="133">
        <f t="shared" si="37"/>
        <v>-24196.834908113793</v>
      </c>
      <c r="AC97" s="133">
        <f t="shared" si="37"/>
        <v>-24557.36774824468</v>
      </c>
      <c r="AD97" s="133">
        <f t="shared" si="37"/>
        <v>-24923.272527693523</v>
      </c>
      <c r="AE97" s="133">
        <f t="shared" si="37"/>
        <v>0</v>
      </c>
      <c r="AF97" s="133">
        <f t="shared" si="37"/>
        <v>0</v>
      </c>
      <c r="AG97" s="133">
        <f t="shared" si="37"/>
        <v>0</v>
      </c>
      <c r="AH97" s="133">
        <f t="shared" si="37"/>
        <v>0</v>
      </c>
      <c r="AI97" s="133">
        <f t="shared" si="37"/>
        <v>0</v>
      </c>
    </row>
    <row r="98" spans="1:35" s="5" customFormat="1" ht="18" customHeight="1" x14ac:dyDescent="0.25">
      <c r="A98" s="132" t="s">
        <v>108</v>
      </c>
      <c r="B98" s="146"/>
      <c r="C98" s="122"/>
      <c r="D98" s="137"/>
      <c r="E98" s="133"/>
      <c r="F98" s="133">
        <f t="shared" ref="F98:AI98" si="38">IF(F$44&lt;=projectlife,-$B$38*F$47,0)</f>
        <v>0</v>
      </c>
      <c r="G98" s="133">
        <f t="shared" si="38"/>
        <v>0</v>
      </c>
      <c r="H98" s="133">
        <f t="shared" si="38"/>
        <v>0</v>
      </c>
      <c r="I98" s="133">
        <f t="shared" si="38"/>
        <v>0</v>
      </c>
      <c r="J98" s="133">
        <f t="shared" si="38"/>
        <v>0</v>
      </c>
      <c r="K98" s="133">
        <f t="shared" si="38"/>
        <v>0</v>
      </c>
      <c r="L98" s="133">
        <f t="shared" si="38"/>
        <v>0</v>
      </c>
      <c r="M98" s="133">
        <f t="shared" si="38"/>
        <v>0</v>
      </c>
      <c r="N98" s="133">
        <f t="shared" si="38"/>
        <v>0</v>
      </c>
      <c r="O98" s="133">
        <f t="shared" si="38"/>
        <v>0</v>
      </c>
      <c r="P98" s="133">
        <f t="shared" si="38"/>
        <v>-25000</v>
      </c>
      <c r="Q98" s="133">
        <f t="shared" si="38"/>
        <v>-25000</v>
      </c>
      <c r="R98" s="133">
        <f t="shared" si="38"/>
        <v>-25000</v>
      </c>
      <c r="S98" s="133">
        <f t="shared" si="38"/>
        <v>-25000</v>
      </c>
      <c r="T98" s="133">
        <f t="shared" si="38"/>
        <v>-25000</v>
      </c>
      <c r="U98" s="133">
        <f t="shared" si="38"/>
        <v>-25000</v>
      </c>
      <c r="V98" s="133">
        <f t="shared" si="38"/>
        <v>-25000</v>
      </c>
      <c r="W98" s="133">
        <f t="shared" si="38"/>
        <v>-25000</v>
      </c>
      <c r="X98" s="133">
        <f t="shared" si="38"/>
        <v>-25000</v>
      </c>
      <c r="Y98" s="133">
        <f t="shared" si="38"/>
        <v>-25000</v>
      </c>
      <c r="Z98" s="133">
        <f t="shared" si="38"/>
        <v>-25000</v>
      </c>
      <c r="AA98" s="133">
        <f t="shared" si="38"/>
        <v>-25000</v>
      </c>
      <c r="AB98" s="133">
        <f t="shared" si="38"/>
        <v>-25000</v>
      </c>
      <c r="AC98" s="133">
        <f t="shared" si="38"/>
        <v>-25000</v>
      </c>
      <c r="AD98" s="133">
        <f t="shared" si="38"/>
        <v>-25000</v>
      </c>
      <c r="AE98" s="133">
        <f t="shared" si="38"/>
        <v>0</v>
      </c>
      <c r="AF98" s="133">
        <f t="shared" si="38"/>
        <v>0</v>
      </c>
      <c r="AG98" s="133">
        <f t="shared" si="38"/>
        <v>0</v>
      </c>
      <c r="AH98" s="133">
        <f t="shared" si="38"/>
        <v>0</v>
      </c>
      <c r="AI98" s="133">
        <f t="shared" si="38"/>
        <v>0</v>
      </c>
    </row>
    <row r="99" spans="1:35" s="5" customFormat="1" ht="18" customHeight="1" x14ac:dyDescent="0.25">
      <c r="A99" s="125" t="s">
        <v>98</v>
      </c>
      <c r="B99" s="125"/>
      <c r="C99" s="122"/>
      <c r="D99" s="137"/>
      <c r="E99" s="122"/>
      <c r="F99" s="122">
        <f t="shared" ref="F99" si="39">SUM(F95:F98)</f>
        <v>0</v>
      </c>
      <c r="G99" s="122">
        <f t="shared" ref="G99:AI99" si="40">SUM(G95:G98)</f>
        <v>0</v>
      </c>
      <c r="H99" s="122">
        <f t="shared" si="40"/>
        <v>0</v>
      </c>
      <c r="I99" s="122">
        <f t="shared" si="40"/>
        <v>0</v>
      </c>
      <c r="J99" s="122">
        <f t="shared" si="40"/>
        <v>0</v>
      </c>
      <c r="K99" s="122">
        <f t="shared" si="40"/>
        <v>0</v>
      </c>
      <c r="L99" s="122">
        <f t="shared" si="40"/>
        <v>0</v>
      </c>
      <c r="M99" s="122">
        <f t="shared" si="40"/>
        <v>0</v>
      </c>
      <c r="N99" s="122">
        <f t="shared" si="40"/>
        <v>0</v>
      </c>
      <c r="O99" s="122">
        <f t="shared" si="40"/>
        <v>0</v>
      </c>
      <c r="P99" s="122">
        <f t="shared" si="40"/>
        <v>176362.00784945852</v>
      </c>
      <c r="Q99" s="122">
        <f t="shared" si="40"/>
        <v>174951.98659101926</v>
      </c>
      <c r="R99" s="122">
        <f t="shared" si="40"/>
        <v>173543.00759170623</v>
      </c>
      <c r="S99" s="122">
        <f t="shared" si="40"/>
        <v>172134.97612330105</v>
      </c>
      <c r="T99" s="122">
        <f t="shared" si="40"/>
        <v>170727.79659742425</v>
      </c>
      <c r="U99" s="122">
        <f t="shared" si="40"/>
        <v>169321.37254996243</v>
      </c>
      <c r="V99" s="122">
        <f t="shared" si="40"/>
        <v>167915.60662527726</v>
      </c>
      <c r="W99" s="122">
        <f t="shared" si="40"/>
        <v>166510.40056019265</v>
      </c>
      <c r="X99" s="122">
        <f t="shared" si="40"/>
        <v>165105.65516775736</v>
      </c>
      <c r="Y99" s="122">
        <f t="shared" si="40"/>
        <v>163701.27032077863</v>
      </c>
      <c r="Z99" s="122">
        <f t="shared" si="40"/>
        <v>212772.72608786836</v>
      </c>
      <c r="AA99" s="122">
        <f t="shared" si="40"/>
        <v>215791.20277634435</v>
      </c>
      <c r="AB99" s="122">
        <f t="shared" si="40"/>
        <v>218857.27645212979</v>
      </c>
      <c r="AC99" s="122">
        <f t="shared" si="40"/>
        <v>221971.64320191229</v>
      </c>
      <c r="AD99" s="122">
        <f t="shared" si="40"/>
        <v>225135.00954961329</v>
      </c>
      <c r="AE99" s="122">
        <f t="shared" si="40"/>
        <v>0</v>
      </c>
      <c r="AF99" s="122">
        <f t="shared" si="40"/>
        <v>0</v>
      </c>
      <c r="AG99" s="122">
        <f t="shared" si="40"/>
        <v>0</v>
      </c>
      <c r="AH99" s="122">
        <f t="shared" si="40"/>
        <v>0</v>
      </c>
      <c r="AI99" s="122">
        <f t="shared" si="40"/>
        <v>0</v>
      </c>
    </row>
    <row r="100" spans="1:35" s="5" customFormat="1" ht="18" customHeight="1" x14ac:dyDescent="0.25">
      <c r="A100" s="146" t="s">
        <v>32</v>
      </c>
      <c r="B100" s="146"/>
      <c r="C100" s="122"/>
      <c r="D100" s="137"/>
      <c r="E100" s="122"/>
      <c r="F100" s="122">
        <f t="shared" ref="F100:AI100" si="41">IF(ProjectYear&lt;=projectlife,-OpCost_Yr*F$47*(1+OpCostAdj_Yr)^(ProjectYear-1),0)</f>
        <v>0</v>
      </c>
      <c r="G100" s="122">
        <f t="shared" si="41"/>
        <v>0</v>
      </c>
      <c r="H100" s="122">
        <f t="shared" si="41"/>
        <v>0</v>
      </c>
      <c r="I100" s="122">
        <f t="shared" si="41"/>
        <v>0</v>
      </c>
      <c r="J100" s="122">
        <f t="shared" si="41"/>
        <v>0</v>
      </c>
      <c r="K100" s="122">
        <f t="shared" si="41"/>
        <v>0</v>
      </c>
      <c r="L100" s="122">
        <f t="shared" si="41"/>
        <v>0</v>
      </c>
      <c r="M100" s="122">
        <f t="shared" si="41"/>
        <v>0</v>
      </c>
      <c r="N100" s="122">
        <f t="shared" si="41"/>
        <v>0</v>
      </c>
      <c r="O100" s="122">
        <f t="shared" si="41"/>
        <v>0</v>
      </c>
      <c r="P100" s="122">
        <f t="shared" si="41"/>
        <v>-12800.845441963571</v>
      </c>
      <c r="Q100" s="122">
        <f t="shared" si="41"/>
        <v>-13120.866578012659</v>
      </c>
      <c r="R100" s="122">
        <f t="shared" si="41"/>
        <v>-13448.888242462976</v>
      </c>
      <c r="S100" s="122">
        <f t="shared" si="41"/>
        <v>-13785.110448524549</v>
      </c>
      <c r="T100" s="122">
        <f t="shared" si="41"/>
        <v>-14129.738209737661</v>
      </c>
      <c r="U100" s="122">
        <f t="shared" si="41"/>
        <v>-14482.981664981105</v>
      </c>
      <c r="V100" s="122">
        <f t="shared" si="41"/>
        <v>-14845.056206605632</v>
      </c>
      <c r="W100" s="122">
        <f t="shared" si="41"/>
        <v>-15216.18261177077</v>
      </c>
      <c r="X100" s="122">
        <f t="shared" si="41"/>
        <v>-15596.587177065039</v>
      </c>
      <c r="Y100" s="122">
        <f t="shared" si="41"/>
        <v>-15986.501856491666</v>
      </c>
      <c r="Z100" s="122">
        <f t="shared" si="41"/>
        <v>-16386.164402903956</v>
      </c>
      <c r="AA100" s="122">
        <f t="shared" si="41"/>
        <v>-16795.818512976552</v>
      </c>
      <c r="AB100" s="122">
        <f t="shared" si="41"/>
        <v>-17215.713975800965</v>
      </c>
      <c r="AC100" s="122">
        <f t="shared" si="41"/>
        <v>-17646.106825195991</v>
      </c>
      <c r="AD100" s="122">
        <f t="shared" si="41"/>
        <v>-18087.259495825889</v>
      </c>
      <c r="AE100" s="122">
        <f t="shared" si="41"/>
        <v>0</v>
      </c>
      <c r="AF100" s="122">
        <f t="shared" si="41"/>
        <v>0</v>
      </c>
      <c r="AG100" s="122">
        <f t="shared" si="41"/>
        <v>0</v>
      </c>
      <c r="AH100" s="122">
        <f t="shared" si="41"/>
        <v>0</v>
      </c>
      <c r="AI100" s="122">
        <f t="shared" si="41"/>
        <v>0</v>
      </c>
    </row>
    <row r="101" spans="1:35" s="5" customFormat="1" ht="18" customHeight="1" x14ac:dyDescent="0.25">
      <c r="A101" s="147" t="s">
        <v>30</v>
      </c>
      <c r="B101" s="147"/>
      <c r="C101" s="122"/>
      <c r="D101" s="137"/>
      <c r="E101" s="122"/>
      <c r="F101" s="122">
        <f t="shared" ref="F101:AI101" si="42">IF(ProjectYear&lt;=projectlife,IF(F$44/ReplaceInverterYear=ROUND(F$44/ReplaceInverterYear,0),-InverterReplaceCost*SystemSize*F$47,0),0)</f>
        <v>0</v>
      </c>
      <c r="G101" s="122">
        <f t="shared" si="42"/>
        <v>0</v>
      </c>
      <c r="H101" s="122">
        <f t="shared" si="42"/>
        <v>0</v>
      </c>
      <c r="I101" s="122">
        <f t="shared" si="42"/>
        <v>0</v>
      </c>
      <c r="J101" s="122">
        <f t="shared" si="42"/>
        <v>0</v>
      </c>
      <c r="K101" s="122">
        <f t="shared" si="42"/>
        <v>0</v>
      </c>
      <c r="L101" s="122">
        <f t="shared" si="42"/>
        <v>0</v>
      </c>
      <c r="M101" s="122">
        <f t="shared" si="42"/>
        <v>0</v>
      </c>
      <c r="N101" s="122">
        <f t="shared" si="42"/>
        <v>0</v>
      </c>
      <c r="O101" s="122">
        <f t="shared" si="42"/>
        <v>0</v>
      </c>
      <c r="P101" s="122">
        <f t="shared" si="42"/>
        <v>0</v>
      </c>
      <c r="Q101" s="122">
        <f t="shared" si="42"/>
        <v>0</v>
      </c>
      <c r="R101" s="122">
        <f t="shared" si="42"/>
        <v>0</v>
      </c>
      <c r="S101" s="122">
        <f t="shared" si="42"/>
        <v>0</v>
      </c>
      <c r="T101" s="122">
        <f t="shared" si="42"/>
        <v>0</v>
      </c>
      <c r="U101" s="122">
        <f t="shared" si="42"/>
        <v>0</v>
      </c>
      <c r="V101" s="122">
        <f t="shared" si="42"/>
        <v>0</v>
      </c>
      <c r="W101" s="122">
        <f t="shared" si="42"/>
        <v>0</v>
      </c>
      <c r="X101" s="122">
        <f t="shared" si="42"/>
        <v>0</v>
      </c>
      <c r="Y101" s="122">
        <f t="shared" si="42"/>
        <v>-70000</v>
      </c>
      <c r="Z101" s="122">
        <f t="shared" si="42"/>
        <v>0</v>
      </c>
      <c r="AA101" s="122">
        <f t="shared" si="42"/>
        <v>0</v>
      </c>
      <c r="AB101" s="122">
        <f t="shared" si="42"/>
        <v>0</v>
      </c>
      <c r="AC101" s="122">
        <f t="shared" si="42"/>
        <v>0</v>
      </c>
      <c r="AD101" s="122">
        <f t="shared" si="42"/>
        <v>0</v>
      </c>
      <c r="AE101" s="122">
        <f t="shared" si="42"/>
        <v>0</v>
      </c>
      <c r="AF101" s="122">
        <f t="shared" si="42"/>
        <v>0</v>
      </c>
      <c r="AG101" s="122">
        <f t="shared" si="42"/>
        <v>0</v>
      </c>
      <c r="AH101" s="122">
        <f t="shared" si="42"/>
        <v>0</v>
      </c>
      <c r="AI101" s="122">
        <f t="shared" si="42"/>
        <v>0</v>
      </c>
    </row>
    <row r="102" spans="1:35" s="5" customFormat="1" ht="18" customHeight="1" x14ac:dyDescent="0.25">
      <c r="A102" s="125" t="s">
        <v>33</v>
      </c>
      <c r="B102" s="125"/>
      <c r="C102" s="122"/>
      <c r="D102" s="137"/>
      <c r="E102" s="122"/>
      <c r="F102" s="122">
        <f>F100+F101</f>
        <v>0</v>
      </c>
      <c r="G102" s="122">
        <f t="shared" ref="G102:AI102" si="43">G100+G101</f>
        <v>0</v>
      </c>
      <c r="H102" s="122">
        <f t="shared" si="43"/>
        <v>0</v>
      </c>
      <c r="I102" s="122">
        <f t="shared" si="43"/>
        <v>0</v>
      </c>
      <c r="J102" s="122">
        <f t="shared" si="43"/>
        <v>0</v>
      </c>
      <c r="K102" s="122">
        <f t="shared" si="43"/>
        <v>0</v>
      </c>
      <c r="L102" s="122">
        <f t="shared" si="43"/>
        <v>0</v>
      </c>
      <c r="M102" s="122">
        <f t="shared" si="43"/>
        <v>0</v>
      </c>
      <c r="N102" s="122">
        <f t="shared" si="43"/>
        <v>0</v>
      </c>
      <c r="O102" s="122">
        <f t="shared" si="43"/>
        <v>0</v>
      </c>
      <c r="P102" s="122">
        <f t="shared" si="43"/>
        <v>-12800.845441963571</v>
      </c>
      <c r="Q102" s="122">
        <f t="shared" si="43"/>
        <v>-13120.866578012659</v>
      </c>
      <c r="R102" s="122">
        <f t="shared" si="43"/>
        <v>-13448.888242462976</v>
      </c>
      <c r="S102" s="122">
        <f t="shared" si="43"/>
        <v>-13785.110448524549</v>
      </c>
      <c r="T102" s="122">
        <f t="shared" si="43"/>
        <v>-14129.738209737661</v>
      </c>
      <c r="U102" s="122">
        <f t="shared" si="43"/>
        <v>-14482.981664981105</v>
      </c>
      <c r="V102" s="122">
        <f t="shared" si="43"/>
        <v>-14845.056206605632</v>
      </c>
      <c r="W102" s="122">
        <f t="shared" si="43"/>
        <v>-15216.18261177077</v>
      </c>
      <c r="X102" s="122">
        <f t="shared" si="43"/>
        <v>-15596.587177065039</v>
      </c>
      <c r="Y102" s="122">
        <f t="shared" si="43"/>
        <v>-85986.501856491668</v>
      </c>
      <c r="Z102" s="122">
        <f t="shared" si="43"/>
        <v>-16386.164402903956</v>
      </c>
      <c r="AA102" s="122">
        <f t="shared" si="43"/>
        <v>-16795.818512976552</v>
      </c>
      <c r="AB102" s="122">
        <f t="shared" si="43"/>
        <v>-17215.713975800965</v>
      </c>
      <c r="AC102" s="122">
        <f t="shared" si="43"/>
        <v>-17646.106825195991</v>
      </c>
      <c r="AD102" s="122">
        <f t="shared" si="43"/>
        <v>-18087.259495825889</v>
      </c>
      <c r="AE102" s="122">
        <f t="shared" si="43"/>
        <v>0</v>
      </c>
      <c r="AF102" s="122">
        <f t="shared" si="43"/>
        <v>0</v>
      </c>
      <c r="AG102" s="122">
        <f t="shared" si="43"/>
        <v>0</v>
      </c>
      <c r="AH102" s="122">
        <f t="shared" si="43"/>
        <v>0</v>
      </c>
      <c r="AI102" s="122">
        <f t="shared" si="43"/>
        <v>0</v>
      </c>
    </row>
    <row r="103" spans="1:35" s="5" customFormat="1" ht="18" customHeight="1" x14ac:dyDescent="0.25">
      <c r="A103" s="149" t="s">
        <v>99</v>
      </c>
      <c r="B103" s="149" t="s">
        <v>35</v>
      </c>
      <c r="C103" s="122"/>
      <c r="D103" s="137"/>
      <c r="E103" s="122"/>
      <c r="F103" s="122">
        <f t="shared" ref="F103:G103" si="44">F99+F102</f>
        <v>0</v>
      </c>
      <c r="G103" s="122">
        <f t="shared" si="44"/>
        <v>0</v>
      </c>
      <c r="H103" s="122">
        <f>H99+H102</f>
        <v>0</v>
      </c>
      <c r="I103" s="122">
        <f t="shared" ref="I103:AI103" si="45">I99+I102</f>
        <v>0</v>
      </c>
      <c r="J103" s="122">
        <f t="shared" si="45"/>
        <v>0</v>
      </c>
      <c r="K103" s="122">
        <f t="shared" si="45"/>
        <v>0</v>
      </c>
      <c r="L103" s="122">
        <f t="shared" si="45"/>
        <v>0</v>
      </c>
      <c r="M103" s="122">
        <f t="shared" si="45"/>
        <v>0</v>
      </c>
      <c r="N103" s="122">
        <f t="shared" si="45"/>
        <v>0</v>
      </c>
      <c r="O103" s="122">
        <f t="shared" si="45"/>
        <v>0</v>
      </c>
      <c r="P103" s="122">
        <f t="shared" si="45"/>
        <v>163561.16240749494</v>
      </c>
      <c r="Q103" s="122">
        <f t="shared" si="45"/>
        <v>161831.12001300661</v>
      </c>
      <c r="R103" s="122">
        <f t="shared" si="45"/>
        <v>160094.11934924326</v>
      </c>
      <c r="S103" s="122">
        <f t="shared" si="45"/>
        <v>158349.86567477649</v>
      </c>
      <c r="T103" s="122">
        <f t="shared" si="45"/>
        <v>156598.05838768659</v>
      </c>
      <c r="U103" s="122">
        <f t="shared" si="45"/>
        <v>154838.39088498132</v>
      </c>
      <c r="V103" s="122">
        <f t="shared" si="45"/>
        <v>153070.55041867163</v>
      </c>
      <c r="W103" s="122">
        <f t="shared" si="45"/>
        <v>151294.21794842187</v>
      </c>
      <c r="X103" s="122">
        <f t="shared" si="45"/>
        <v>149509.06799069233</v>
      </c>
      <c r="Y103" s="122">
        <f t="shared" si="45"/>
        <v>77714.768464286957</v>
      </c>
      <c r="Z103" s="122">
        <f t="shared" si="45"/>
        <v>196386.5616849644</v>
      </c>
      <c r="AA103" s="122">
        <f t="shared" si="45"/>
        <v>198995.3842633678</v>
      </c>
      <c r="AB103" s="122">
        <f t="shared" si="45"/>
        <v>201641.56247632884</v>
      </c>
      <c r="AC103" s="122">
        <f t="shared" si="45"/>
        <v>204325.53637671631</v>
      </c>
      <c r="AD103" s="122">
        <f t="shared" si="45"/>
        <v>207047.7500537874</v>
      </c>
      <c r="AE103" s="122">
        <f t="shared" si="45"/>
        <v>0</v>
      </c>
      <c r="AF103" s="122">
        <f t="shared" si="45"/>
        <v>0</v>
      </c>
      <c r="AG103" s="122">
        <f t="shared" si="45"/>
        <v>0</v>
      </c>
      <c r="AH103" s="122">
        <f t="shared" si="45"/>
        <v>0</v>
      </c>
      <c r="AI103" s="122">
        <f t="shared" si="45"/>
        <v>0</v>
      </c>
    </row>
    <row r="104" spans="1:35" s="5" customFormat="1" ht="18" customHeight="1" x14ac:dyDescent="0.25">
      <c r="A104" s="147" t="s">
        <v>56</v>
      </c>
      <c r="B104" s="147"/>
      <c r="C104" s="122"/>
      <c r="D104" s="137"/>
      <c r="E104" s="122"/>
      <c r="F104" s="122">
        <f>IF($B$9="Non-Taxable",0,-(AssetBasis)*F$47*DEP_01)</f>
        <v>0</v>
      </c>
      <c r="G104" s="122">
        <f>IF($B$9="Non-Taxable",0,-(AssetBasis)*G$47*Dep_02)</f>
        <v>0</v>
      </c>
      <c r="H104" s="122">
        <f>IF($B$9="Non-Taxable",0,-(AssetBasis)*H$47*Dep_03)</f>
        <v>0</v>
      </c>
      <c r="I104" s="122">
        <f>IF($B$9="Non-Taxable",0,-(AssetBasis)*I$47*DEP_04)</f>
        <v>0</v>
      </c>
      <c r="J104" s="122">
        <f>IF($B$9="Non-Taxable",0,-(AssetBasis)*J$47*DEP_05)</f>
        <v>0</v>
      </c>
      <c r="K104" s="122">
        <f>IF($B$9="Non-Taxable",0,-(AssetBasis)*K$47*DEP_06)</f>
        <v>0</v>
      </c>
      <c r="L104" s="122">
        <f>IF($B$9="Non-Taxable",0,-(AssetBasis)*L$47*DEP_07)</f>
        <v>0</v>
      </c>
      <c r="M104" s="122">
        <f>IF($B$9="Non-Taxable",0,-(AssetBasis)*M$47*DEP_08)</f>
        <v>0</v>
      </c>
      <c r="N104" s="122">
        <f>IF($B$9="Non-Taxable",0,-(AssetBasis)*N$47*DEP_09)</f>
        <v>0</v>
      </c>
      <c r="O104" s="122">
        <f>IF($B$9="Non-Taxable",0,-(AssetBasis)*O$47*DEP_10)</f>
        <v>0</v>
      </c>
      <c r="P104" s="122">
        <f>IF($B$9="Non-Taxable",0,-(AssetBasis)*P$47*DEP_11)</f>
        <v>0</v>
      </c>
      <c r="Q104" s="122">
        <f>IF($B$9="Non-Taxable",0,-(AssetBasis)*Q$47*DEP_12)</f>
        <v>0</v>
      </c>
      <c r="R104" s="122">
        <f>IF($B$9="Non-Taxable",0,-(AssetBasis)*R$47*DEP_13)</f>
        <v>0</v>
      </c>
      <c r="S104" s="122">
        <f>IF($B$9="Non-Taxable",0,-(AssetBasis)*S$47*DEP_14)</f>
        <v>0</v>
      </c>
      <c r="T104" s="122">
        <f>IF($B$9="Non-Taxable",0,-(AssetBasis)*T$47*DEP_15)</f>
        <v>0</v>
      </c>
      <c r="U104" s="122">
        <f>IF($B$9="Non-Taxable",0,-(AssetBasis)*U$47*DEP_16)</f>
        <v>0</v>
      </c>
      <c r="V104" s="122">
        <f>IF($B$9="Non-Taxable",0,-(AssetBasis)*V$47*DEP_17)</f>
        <v>0</v>
      </c>
      <c r="W104" s="122">
        <f>IF($B$9="Non-Taxable",0,-(AssetBasis)*W$47*DEP_18)</f>
        <v>0</v>
      </c>
      <c r="X104" s="122">
        <f>IF($B$9="Non-Taxable",0,-(AssetBasis)*X$47*DEP_19)</f>
        <v>0</v>
      </c>
      <c r="Y104" s="122">
        <f>IF($B$9="Non-Taxable",0,-(AssetBasis)*Y$47*DEP_20)</f>
        <v>0</v>
      </c>
      <c r="Z104" s="122">
        <f>IF($B$9="Non-Taxable",0,-(AssetBasis)*Z$47*DEP_21)</f>
        <v>0</v>
      </c>
      <c r="AA104" s="122">
        <f>IF($B$9="Non-Taxable",0,-(AssetBasis)*AA$47*DEP_22)</f>
        <v>0</v>
      </c>
      <c r="AB104" s="122">
        <f>IF($B$9="Non-Taxable",0,-(AssetBasis)*AB$47*DEP_23)</f>
        <v>0</v>
      </c>
      <c r="AC104" s="122">
        <f>IF($B$9="Non-Taxable",0,-(AssetBasis)*AC$47*DEP_24)</f>
        <v>0</v>
      </c>
      <c r="AD104" s="122">
        <f>IF($B$9="Non-Taxable",0,-(AssetBasis)*AD$47*DEP_25)</f>
        <v>0</v>
      </c>
      <c r="AE104" s="122">
        <f>IF($B$9="Non-Taxable",0,-(AssetBasis)*AE$47*DEP_26)</f>
        <v>0</v>
      </c>
      <c r="AF104" s="122">
        <f>IF($B$9="Non-Taxable",0,-(AssetBasis)*AF$47*DEP_27)</f>
        <v>0</v>
      </c>
      <c r="AG104" s="122">
        <f>IF($B$9="Non-Taxable",0,-(AssetBasis)*AG$47*DEP_28)</f>
        <v>0</v>
      </c>
      <c r="AH104" s="122">
        <f>IF($B$9="Non-Taxable",0,-(AssetBasis)*AH$47*DEP_29)</f>
        <v>0</v>
      </c>
      <c r="AI104" s="122">
        <f>IF($B$9="Non-Taxable",0,-(AssetBasis)*AI$47*DEP_30)</f>
        <v>0</v>
      </c>
    </row>
    <row r="105" spans="1:35" s="5" customFormat="1" ht="18" customHeight="1" x14ac:dyDescent="0.25">
      <c r="A105" s="149"/>
      <c r="B105" s="149" t="s">
        <v>37</v>
      </c>
      <c r="C105" s="122"/>
      <c r="D105" s="137"/>
      <c r="E105" s="122"/>
      <c r="F105" s="122">
        <f>SUM(F103:F104)</f>
        <v>0</v>
      </c>
      <c r="G105" s="122">
        <f t="shared" ref="G105:J105" si="46">SUM(G103:G104)</f>
        <v>0</v>
      </c>
      <c r="H105" s="122">
        <f t="shared" si="46"/>
        <v>0</v>
      </c>
      <c r="I105" s="122">
        <f t="shared" si="46"/>
        <v>0</v>
      </c>
      <c r="J105" s="122">
        <f t="shared" si="46"/>
        <v>0</v>
      </c>
      <c r="K105" s="122">
        <f>SUM(K103:K104)</f>
        <v>0</v>
      </c>
      <c r="L105" s="122">
        <f t="shared" ref="L105:AI105" si="47">SUM(L103:L104)</f>
        <v>0</v>
      </c>
      <c r="M105" s="122">
        <f t="shared" si="47"/>
        <v>0</v>
      </c>
      <c r="N105" s="122">
        <f t="shared" si="47"/>
        <v>0</v>
      </c>
      <c r="O105" s="122">
        <f t="shared" si="47"/>
        <v>0</v>
      </c>
      <c r="P105" s="122">
        <f t="shared" si="47"/>
        <v>163561.16240749494</v>
      </c>
      <c r="Q105" s="122">
        <f t="shared" si="47"/>
        <v>161831.12001300661</v>
      </c>
      <c r="R105" s="122">
        <f t="shared" si="47"/>
        <v>160094.11934924326</v>
      </c>
      <c r="S105" s="122">
        <f t="shared" si="47"/>
        <v>158349.86567477649</v>
      </c>
      <c r="T105" s="122">
        <f t="shared" si="47"/>
        <v>156598.05838768659</v>
      </c>
      <c r="U105" s="122">
        <f t="shared" si="47"/>
        <v>154838.39088498132</v>
      </c>
      <c r="V105" s="122">
        <f t="shared" si="47"/>
        <v>153070.55041867163</v>
      </c>
      <c r="W105" s="122">
        <f t="shared" si="47"/>
        <v>151294.21794842187</v>
      </c>
      <c r="X105" s="122">
        <f t="shared" si="47"/>
        <v>149509.06799069233</v>
      </c>
      <c r="Y105" s="122">
        <f t="shared" si="47"/>
        <v>77714.768464286957</v>
      </c>
      <c r="Z105" s="122">
        <f t="shared" si="47"/>
        <v>196386.5616849644</v>
      </c>
      <c r="AA105" s="122">
        <f t="shared" si="47"/>
        <v>198995.3842633678</v>
      </c>
      <c r="AB105" s="122">
        <f t="shared" si="47"/>
        <v>201641.56247632884</v>
      </c>
      <c r="AC105" s="122">
        <f t="shared" si="47"/>
        <v>204325.53637671631</v>
      </c>
      <c r="AD105" s="122">
        <f t="shared" si="47"/>
        <v>207047.7500537874</v>
      </c>
      <c r="AE105" s="122">
        <f t="shared" si="47"/>
        <v>0</v>
      </c>
      <c r="AF105" s="122">
        <f t="shared" si="47"/>
        <v>0</v>
      </c>
      <c r="AG105" s="122">
        <f t="shared" si="47"/>
        <v>0</v>
      </c>
      <c r="AH105" s="122">
        <f t="shared" si="47"/>
        <v>0</v>
      </c>
      <c r="AI105" s="122">
        <f t="shared" si="47"/>
        <v>0</v>
      </c>
    </row>
    <row r="106" spans="1:35" s="5" customFormat="1" ht="18" customHeight="1" x14ac:dyDescent="0.25">
      <c r="A106" s="147" t="s">
        <v>38</v>
      </c>
      <c r="B106" s="147"/>
      <c r="C106" s="122"/>
      <c r="D106" s="137"/>
      <c r="E106" s="122"/>
      <c r="F106" s="122">
        <f t="shared" ref="F106:AI106" si="48">F$134</f>
        <v>0</v>
      </c>
      <c r="G106" s="122">
        <f t="shared" si="48"/>
        <v>0</v>
      </c>
      <c r="H106" s="122">
        <f t="shared" si="48"/>
        <v>0</v>
      </c>
      <c r="I106" s="122">
        <f t="shared" si="48"/>
        <v>0</v>
      </c>
      <c r="J106" s="122">
        <f t="shared" si="48"/>
        <v>0</v>
      </c>
      <c r="K106" s="122">
        <f t="shared" si="48"/>
        <v>0</v>
      </c>
      <c r="L106" s="122">
        <f t="shared" si="48"/>
        <v>0</v>
      </c>
      <c r="M106" s="122">
        <f t="shared" si="48"/>
        <v>0</v>
      </c>
      <c r="N106" s="122">
        <f t="shared" si="48"/>
        <v>0</v>
      </c>
      <c r="O106" s="122">
        <f t="shared" si="48"/>
        <v>0</v>
      </c>
      <c r="P106" s="122">
        <f t="shared" si="48"/>
        <v>-18900</v>
      </c>
      <c r="Q106" s="122">
        <f t="shared" si="48"/>
        <v>-17466.095589634744</v>
      </c>
      <c r="R106" s="122">
        <f t="shared" si="48"/>
        <v>-15946.156914647574</v>
      </c>
      <c r="S106" s="122">
        <f t="shared" si="48"/>
        <v>-14335.021919161174</v>
      </c>
      <c r="T106" s="122">
        <f t="shared" si="48"/>
        <v>-12627.21882394559</v>
      </c>
      <c r="U106" s="122">
        <f t="shared" si="48"/>
        <v>-10816.947543017071</v>
      </c>
      <c r="V106" s="122">
        <f t="shared" si="48"/>
        <v>-8898.0599852328414</v>
      </c>
      <c r="W106" s="122">
        <f t="shared" si="48"/>
        <v>-6864.0391739815568</v>
      </c>
      <c r="X106" s="122">
        <f t="shared" si="48"/>
        <v>-4707.9771140551957</v>
      </c>
      <c r="Y106" s="122">
        <f t="shared" si="48"/>
        <v>-2422.5513305332533</v>
      </c>
      <c r="Z106" s="122">
        <f t="shared" si="48"/>
        <v>0</v>
      </c>
      <c r="AA106" s="122">
        <f t="shared" si="48"/>
        <v>0</v>
      </c>
      <c r="AB106" s="122">
        <f t="shared" si="48"/>
        <v>0</v>
      </c>
      <c r="AC106" s="122">
        <f t="shared" si="48"/>
        <v>0</v>
      </c>
      <c r="AD106" s="122">
        <f t="shared" si="48"/>
        <v>0</v>
      </c>
      <c r="AE106" s="122">
        <f t="shared" si="48"/>
        <v>0</v>
      </c>
      <c r="AF106" s="122">
        <f t="shared" si="48"/>
        <v>0</v>
      </c>
      <c r="AG106" s="122">
        <f t="shared" si="48"/>
        <v>0</v>
      </c>
      <c r="AH106" s="122">
        <f t="shared" si="48"/>
        <v>0</v>
      </c>
      <c r="AI106" s="122">
        <f t="shared" si="48"/>
        <v>0</v>
      </c>
    </row>
    <row r="107" spans="1:35" s="5" customFormat="1" ht="18" customHeight="1" x14ac:dyDescent="0.25">
      <c r="A107" s="149"/>
      <c r="B107" s="149" t="s">
        <v>39</v>
      </c>
      <c r="C107" s="122"/>
      <c r="D107" s="137"/>
      <c r="E107" s="122"/>
      <c r="F107" s="122">
        <f>F105+F106</f>
        <v>0</v>
      </c>
      <c r="G107" s="122">
        <f t="shared" ref="G107:I107" si="49">G105+G106</f>
        <v>0</v>
      </c>
      <c r="H107" s="122">
        <f t="shared" si="49"/>
        <v>0</v>
      </c>
      <c r="I107" s="122">
        <f t="shared" si="49"/>
        <v>0</v>
      </c>
      <c r="J107" s="122">
        <f>J105+J106</f>
        <v>0</v>
      </c>
      <c r="K107" s="122">
        <f>K105+K106</f>
        <v>0</v>
      </c>
      <c r="L107" s="122">
        <f t="shared" ref="L107:AI107" si="50">L105+L106</f>
        <v>0</v>
      </c>
      <c r="M107" s="122">
        <f t="shared" si="50"/>
        <v>0</v>
      </c>
      <c r="N107" s="122">
        <f t="shared" si="50"/>
        <v>0</v>
      </c>
      <c r="O107" s="122">
        <f t="shared" si="50"/>
        <v>0</v>
      </c>
      <c r="P107" s="122">
        <f t="shared" si="50"/>
        <v>144661.16240749494</v>
      </c>
      <c r="Q107" s="122">
        <f t="shared" si="50"/>
        <v>144365.02442337188</v>
      </c>
      <c r="R107" s="122">
        <f t="shared" si="50"/>
        <v>144147.96243459568</v>
      </c>
      <c r="S107" s="122">
        <f t="shared" si="50"/>
        <v>144014.84375561532</v>
      </c>
      <c r="T107" s="122">
        <f t="shared" si="50"/>
        <v>143970.839563741</v>
      </c>
      <c r="U107" s="122">
        <f t="shared" si="50"/>
        <v>144021.44334196424</v>
      </c>
      <c r="V107" s="122">
        <f t="shared" si="50"/>
        <v>144172.4904334388</v>
      </c>
      <c r="W107" s="122">
        <f t="shared" si="50"/>
        <v>144430.17877444031</v>
      </c>
      <c r="X107" s="122">
        <f t="shared" si="50"/>
        <v>144801.09087663714</v>
      </c>
      <c r="Y107" s="122">
        <f t="shared" si="50"/>
        <v>75292.2171337537</v>
      </c>
      <c r="Z107" s="122">
        <f t="shared" si="50"/>
        <v>196386.5616849644</v>
      </c>
      <c r="AA107" s="122">
        <f t="shared" si="50"/>
        <v>198995.3842633678</v>
      </c>
      <c r="AB107" s="122">
        <f t="shared" si="50"/>
        <v>201641.56247632884</v>
      </c>
      <c r="AC107" s="122">
        <f t="shared" si="50"/>
        <v>204325.53637671631</v>
      </c>
      <c r="AD107" s="122">
        <f t="shared" si="50"/>
        <v>207047.7500537874</v>
      </c>
      <c r="AE107" s="122">
        <f t="shared" si="50"/>
        <v>0</v>
      </c>
      <c r="AF107" s="122">
        <f t="shared" si="50"/>
        <v>0</v>
      </c>
      <c r="AG107" s="122">
        <f t="shared" si="50"/>
        <v>0</v>
      </c>
      <c r="AH107" s="122">
        <f t="shared" si="50"/>
        <v>0</v>
      </c>
      <c r="AI107" s="122">
        <f t="shared" si="50"/>
        <v>0</v>
      </c>
    </row>
    <row r="108" spans="1:35" s="30" customFormat="1" ht="18" customHeight="1" x14ac:dyDescent="0.25">
      <c r="A108" s="147" t="s">
        <v>57</v>
      </c>
      <c r="B108" s="147"/>
      <c r="C108" s="122"/>
      <c r="D108" s="137"/>
      <c r="E108" s="122"/>
      <c r="F108" s="122">
        <f t="shared" ref="F108:AI108" si="51">IF(taxable="Non-Taxable",0,IF(F$109&gt;=0,-F$107*FedTaxRate,(-F$107*FedTaxRate)-(F$109*FedTaxRate)))</f>
        <v>0</v>
      </c>
      <c r="G108" s="122">
        <f t="shared" si="51"/>
        <v>0</v>
      </c>
      <c r="H108" s="122">
        <f t="shared" si="51"/>
        <v>0</v>
      </c>
      <c r="I108" s="122">
        <f t="shared" si="51"/>
        <v>0</v>
      </c>
      <c r="J108" s="122">
        <f t="shared" si="51"/>
        <v>0</v>
      </c>
      <c r="K108" s="122">
        <f t="shared" si="51"/>
        <v>0</v>
      </c>
      <c r="L108" s="122">
        <f t="shared" si="51"/>
        <v>0</v>
      </c>
      <c r="M108" s="122">
        <f t="shared" si="51"/>
        <v>0</v>
      </c>
      <c r="N108" s="122">
        <f t="shared" si="51"/>
        <v>0</v>
      </c>
      <c r="O108" s="122">
        <f t="shared" si="51"/>
        <v>0</v>
      </c>
      <c r="P108" s="122">
        <f t="shared" si="51"/>
        <v>-27948.536577128019</v>
      </c>
      <c r="Q108" s="122">
        <f t="shared" si="51"/>
        <v>-27891.322718595449</v>
      </c>
      <c r="R108" s="122">
        <f t="shared" si="51"/>
        <v>-27849.386342363887</v>
      </c>
      <c r="S108" s="122">
        <f t="shared" si="51"/>
        <v>-27823.667813584882</v>
      </c>
      <c r="T108" s="122">
        <f t="shared" si="51"/>
        <v>-27815.166203714762</v>
      </c>
      <c r="U108" s="122">
        <f t="shared" si="51"/>
        <v>-27824.94285366749</v>
      </c>
      <c r="V108" s="122">
        <f t="shared" si="51"/>
        <v>-27854.125151740376</v>
      </c>
      <c r="W108" s="122">
        <f t="shared" si="51"/>
        <v>-27903.910539221866</v>
      </c>
      <c r="X108" s="122">
        <f t="shared" si="51"/>
        <v>-27975.570757366295</v>
      </c>
      <c r="Y108" s="122">
        <f t="shared" si="51"/>
        <v>-14546.456350241213</v>
      </c>
      <c r="Z108" s="122">
        <f t="shared" si="51"/>
        <v>-37941.883717535122</v>
      </c>
      <c r="AA108" s="122">
        <f t="shared" si="51"/>
        <v>-38445.908239682656</v>
      </c>
      <c r="AB108" s="122">
        <f t="shared" si="51"/>
        <v>-38957.149870426729</v>
      </c>
      <c r="AC108" s="122">
        <f t="shared" si="51"/>
        <v>-39475.693627981593</v>
      </c>
      <c r="AD108" s="122">
        <f t="shared" si="51"/>
        <v>-40001.625310391726</v>
      </c>
      <c r="AE108" s="122">
        <f t="shared" si="51"/>
        <v>0</v>
      </c>
      <c r="AF108" s="122">
        <f t="shared" si="51"/>
        <v>0</v>
      </c>
      <c r="AG108" s="122">
        <f t="shared" si="51"/>
        <v>0</v>
      </c>
      <c r="AH108" s="122">
        <f t="shared" si="51"/>
        <v>0</v>
      </c>
      <c r="AI108" s="122">
        <f t="shared" si="51"/>
        <v>0</v>
      </c>
    </row>
    <row r="109" spans="1:35" s="30" customFormat="1" ht="18" customHeight="1" x14ac:dyDescent="0.25">
      <c r="A109" s="150" t="s">
        <v>58</v>
      </c>
      <c r="B109" s="150"/>
      <c r="C109" s="151"/>
      <c r="D109" s="137"/>
      <c r="E109" s="151"/>
      <c r="F109" s="151">
        <f t="shared" ref="F109:AI109" si="52">IF(taxable="Non-Taxable",0,IF(ProjectYear&lt;=projectlife,-(F$107-F$104)*StateTaxRate,0))</f>
        <v>0</v>
      </c>
      <c r="G109" s="151">
        <f t="shared" si="52"/>
        <v>0</v>
      </c>
      <c r="H109" s="151">
        <f t="shared" si="52"/>
        <v>0</v>
      </c>
      <c r="I109" s="151">
        <f t="shared" si="52"/>
        <v>0</v>
      </c>
      <c r="J109" s="151">
        <f t="shared" si="52"/>
        <v>0</v>
      </c>
      <c r="K109" s="151">
        <f t="shared" si="52"/>
        <v>0</v>
      </c>
      <c r="L109" s="151">
        <f t="shared" si="52"/>
        <v>0</v>
      </c>
      <c r="M109" s="151">
        <f t="shared" si="52"/>
        <v>0</v>
      </c>
      <c r="N109" s="151">
        <f t="shared" si="52"/>
        <v>0</v>
      </c>
      <c r="O109" s="151">
        <f t="shared" si="52"/>
        <v>0</v>
      </c>
      <c r="P109" s="151">
        <f t="shared" si="52"/>
        <v>-11572.892992599594</v>
      </c>
      <c r="Q109" s="151">
        <f t="shared" si="52"/>
        <v>-11549.201953869751</v>
      </c>
      <c r="R109" s="151">
        <f t="shared" si="52"/>
        <v>-11531.836994767655</v>
      </c>
      <c r="S109" s="151">
        <f t="shared" si="52"/>
        <v>-11521.187500449227</v>
      </c>
      <c r="T109" s="151">
        <f t="shared" si="52"/>
        <v>-11517.667165099279</v>
      </c>
      <c r="U109" s="151">
        <f t="shared" si="52"/>
        <v>-11521.71546735714</v>
      </c>
      <c r="V109" s="151">
        <f t="shared" si="52"/>
        <v>-11533.799234675103</v>
      </c>
      <c r="W109" s="151">
        <f t="shared" si="52"/>
        <v>-11554.414301955225</v>
      </c>
      <c r="X109" s="151">
        <f t="shared" si="52"/>
        <v>-11584.087270130971</v>
      </c>
      <c r="Y109" s="151">
        <f t="shared" si="52"/>
        <v>-6023.3773707002965</v>
      </c>
      <c r="Z109" s="151">
        <f t="shared" si="52"/>
        <v>-15710.924934797153</v>
      </c>
      <c r="AA109" s="151">
        <f t="shared" si="52"/>
        <v>-15919.630741069424</v>
      </c>
      <c r="AB109" s="151">
        <f t="shared" si="52"/>
        <v>-16131.324998106307</v>
      </c>
      <c r="AC109" s="151">
        <f t="shared" si="52"/>
        <v>-16346.042910137305</v>
      </c>
      <c r="AD109" s="151">
        <f t="shared" si="52"/>
        <v>-16563.820004302994</v>
      </c>
      <c r="AE109" s="151">
        <f t="shared" si="52"/>
        <v>0</v>
      </c>
      <c r="AF109" s="151">
        <f t="shared" si="52"/>
        <v>0</v>
      </c>
      <c r="AG109" s="151">
        <f t="shared" si="52"/>
        <v>0</v>
      </c>
      <c r="AH109" s="151">
        <f t="shared" si="52"/>
        <v>0</v>
      </c>
      <c r="AI109" s="151">
        <f t="shared" si="52"/>
        <v>0</v>
      </c>
    </row>
    <row r="110" spans="1:35" s="21" customFormat="1" ht="18" customHeight="1" x14ac:dyDescent="0.25">
      <c r="A110" s="152" t="s">
        <v>40</v>
      </c>
      <c r="B110" s="153"/>
      <c r="C110" s="127"/>
      <c r="D110" s="127"/>
      <c r="E110" s="127"/>
      <c r="F110" s="127">
        <f>SUM(F107:F109)</f>
        <v>0</v>
      </c>
      <c r="G110" s="127">
        <f t="shared" ref="G110:AI110" si="53">SUM(G107:G109)</f>
        <v>0</v>
      </c>
      <c r="H110" s="127">
        <f t="shared" si="53"/>
        <v>0</v>
      </c>
      <c r="I110" s="127">
        <f t="shared" si="53"/>
        <v>0</v>
      </c>
      <c r="J110" s="127">
        <f t="shared" si="53"/>
        <v>0</v>
      </c>
      <c r="K110" s="127">
        <f t="shared" si="53"/>
        <v>0</v>
      </c>
      <c r="L110" s="127">
        <f t="shared" si="53"/>
        <v>0</v>
      </c>
      <c r="M110" s="127">
        <f t="shared" si="53"/>
        <v>0</v>
      </c>
      <c r="N110" s="127">
        <f t="shared" si="53"/>
        <v>0</v>
      </c>
      <c r="O110" s="127">
        <f t="shared" si="53"/>
        <v>0</v>
      </c>
      <c r="P110" s="127">
        <f t="shared" si="53"/>
        <v>105139.73283776733</v>
      </c>
      <c r="Q110" s="127">
        <f t="shared" si="53"/>
        <v>104924.49975090669</v>
      </c>
      <c r="R110" s="127">
        <f t="shared" si="53"/>
        <v>104766.73909746415</v>
      </c>
      <c r="S110" s="127">
        <f t="shared" si="53"/>
        <v>104669.98844158121</v>
      </c>
      <c r="T110" s="127">
        <f t="shared" si="53"/>
        <v>104638.00619492696</v>
      </c>
      <c r="U110" s="127">
        <f t="shared" si="53"/>
        <v>104674.78502093963</v>
      </c>
      <c r="V110" s="127">
        <f t="shared" si="53"/>
        <v>104784.56604702333</v>
      </c>
      <c r="W110" s="127">
        <f t="shared" si="53"/>
        <v>104971.85393326322</v>
      </c>
      <c r="X110" s="127">
        <f t="shared" si="53"/>
        <v>105241.43284913988</v>
      </c>
      <c r="Y110" s="127">
        <f t="shared" si="53"/>
        <v>54722.383412812189</v>
      </c>
      <c r="Z110" s="127">
        <f t="shared" si="53"/>
        <v>142733.75303263211</v>
      </c>
      <c r="AA110" s="127">
        <f t="shared" si="53"/>
        <v>144629.84528261572</v>
      </c>
      <c r="AB110" s="127">
        <f t="shared" si="53"/>
        <v>146553.08760779581</v>
      </c>
      <c r="AC110" s="127">
        <f t="shared" si="53"/>
        <v>148503.79983859742</v>
      </c>
      <c r="AD110" s="127">
        <f t="shared" si="53"/>
        <v>150482.30473909265</v>
      </c>
      <c r="AE110" s="127">
        <f t="shared" si="53"/>
        <v>0</v>
      </c>
      <c r="AF110" s="127">
        <f t="shared" si="53"/>
        <v>0</v>
      </c>
      <c r="AG110" s="127">
        <f t="shared" si="53"/>
        <v>0</v>
      </c>
      <c r="AH110" s="127">
        <f t="shared" si="53"/>
        <v>0</v>
      </c>
      <c r="AI110" s="128">
        <f t="shared" si="53"/>
        <v>0</v>
      </c>
    </row>
    <row r="111" spans="1:35" s="5" customFormat="1" ht="18" customHeight="1" x14ac:dyDescent="0.25">
      <c r="A111" s="144" t="s">
        <v>53</v>
      </c>
      <c r="B111" s="144"/>
      <c r="C111" s="122"/>
      <c r="D111" s="137"/>
      <c r="E111" s="122"/>
      <c r="F111" s="132"/>
      <c r="G111" s="132"/>
      <c r="H111" s="13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row>
    <row r="112" spans="1:35" s="5" customFormat="1" ht="18" customHeight="1" x14ac:dyDescent="0.25">
      <c r="A112" s="121" t="s">
        <v>103</v>
      </c>
      <c r="B112" s="121"/>
      <c r="C112" s="122"/>
      <c r="D112" s="137"/>
      <c r="E112" s="122"/>
      <c r="F112" s="122">
        <f>F110-F104</f>
        <v>0</v>
      </c>
      <c r="G112" s="122">
        <f t="shared" ref="G112:AI112" si="54">G110-G104</f>
        <v>0</v>
      </c>
      <c r="H112" s="122">
        <f t="shared" si="54"/>
        <v>0</v>
      </c>
      <c r="I112" s="122">
        <f t="shared" si="54"/>
        <v>0</v>
      </c>
      <c r="J112" s="122">
        <f t="shared" si="54"/>
        <v>0</v>
      </c>
      <c r="K112" s="122">
        <f t="shared" si="54"/>
        <v>0</v>
      </c>
      <c r="L112" s="122">
        <f t="shared" si="54"/>
        <v>0</v>
      </c>
      <c r="M112" s="122">
        <f t="shared" si="54"/>
        <v>0</v>
      </c>
      <c r="N112" s="122">
        <f t="shared" si="54"/>
        <v>0</v>
      </c>
      <c r="O112" s="122">
        <f t="shared" si="54"/>
        <v>0</v>
      </c>
      <c r="P112" s="122">
        <f t="shared" si="54"/>
        <v>105139.73283776733</v>
      </c>
      <c r="Q112" s="122">
        <f t="shared" si="54"/>
        <v>104924.49975090669</v>
      </c>
      <c r="R112" s="122">
        <f t="shared" si="54"/>
        <v>104766.73909746415</v>
      </c>
      <c r="S112" s="122">
        <f t="shared" si="54"/>
        <v>104669.98844158121</v>
      </c>
      <c r="T112" s="122">
        <f t="shared" si="54"/>
        <v>104638.00619492696</v>
      </c>
      <c r="U112" s="122">
        <f t="shared" si="54"/>
        <v>104674.78502093963</v>
      </c>
      <c r="V112" s="122">
        <f t="shared" si="54"/>
        <v>104784.56604702333</v>
      </c>
      <c r="W112" s="122">
        <f t="shared" si="54"/>
        <v>104971.85393326322</v>
      </c>
      <c r="X112" s="122">
        <f t="shared" si="54"/>
        <v>105241.43284913988</v>
      </c>
      <c r="Y112" s="122">
        <f t="shared" si="54"/>
        <v>54722.383412812189</v>
      </c>
      <c r="Z112" s="122">
        <f t="shared" si="54"/>
        <v>142733.75303263211</v>
      </c>
      <c r="AA112" s="122">
        <f t="shared" si="54"/>
        <v>144629.84528261572</v>
      </c>
      <c r="AB112" s="122">
        <f t="shared" si="54"/>
        <v>146553.08760779581</v>
      </c>
      <c r="AC112" s="122">
        <f t="shared" si="54"/>
        <v>148503.79983859742</v>
      </c>
      <c r="AD112" s="122">
        <f t="shared" si="54"/>
        <v>150482.30473909265</v>
      </c>
      <c r="AE112" s="122">
        <f t="shared" si="54"/>
        <v>0</v>
      </c>
      <c r="AF112" s="122">
        <f t="shared" si="54"/>
        <v>0</v>
      </c>
      <c r="AG112" s="122">
        <f t="shared" si="54"/>
        <v>0</v>
      </c>
      <c r="AH112" s="122">
        <f t="shared" si="54"/>
        <v>0</v>
      </c>
      <c r="AI112" s="122">
        <f t="shared" si="54"/>
        <v>0</v>
      </c>
    </row>
    <row r="113" spans="1:36" s="5" customFormat="1" ht="18" customHeight="1" x14ac:dyDescent="0.25">
      <c r="A113" s="121" t="s">
        <v>46</v>
      </c>
      <c r="B113" s="121"/>
      <c r="C113" s="122"/>
      <c r="D113" s="137"/>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row>
    <row r="114" spans="1:36" s="5" customFormat="1" ht="18" customHeight="1" x14ac:dyDescent="0.25">
      <c r="A114" s="124" t="s">
        <v>138</v>
      </c>
      <c r="B114" s="124"/>
      <c r="C114" s="122"/>
      <c r="D114" s="137"/>
      <c r="E114" s="122"/>
      <c r="F114" s="122">
        <f t="shared" ref="F114:AI114" si="55">IF(F$44=$B$16,-$B$15,0)</f>
        <v>0</v>
      </c>
      <c r="G114" s="122">
        <f t="shared" si="55"/>
        <v>0</v>
      </c>
      <c r="H114" s="122">
        <f t="shared" si="55"/>
        <v>0</v>
      </c>
      <c r="I114" s="122">
        <f t="shared" si="55"/>
        <v>0</v>
      </c>
      <c r="J114" s="122">
        <f t="shared" si="55"/>
        <v>0</v>
      </c>
      <c r="K114" s="122">
        <f t="shared" si="55"/>
        <v>0</v>
      </c>
      <c r="L114" s="122">
        <f t="shared" si="55"/>
        <v>0</v>
      </c>
      <c r="M114" s="122">
        <f t="shared" si="55"/>
        <v>0</v>
      </c>
      <c r="N114" s="122">
        <f t="shared" si="55"/>
        <v>0</v>
      </c>
      <c r="O114" s="122">
        <f t="shared" si="55"/>
        <v>-525000</v>
      </c>
      <c r="P114" s="122">
        <f t="shared" si="55"/>
        <v>0</v>
      </c>
      <c r="Q114" s="122">
        <f t="shared" si="55"/>
        <v>0</v>
      </c>
      <c r="R114" s="122">
        <f t="shared" si="55"/>
        <v>0</v>
      </c>
      <c r="S114" s="122">
        <f t="shared" si="55"/>
        <v>0</v>
      </c>
      <c r="T114" s="122">
        <f t="shared" si="55"/>
        <v>0</v>
      </c>
      <c r="U114" s="122">
        <f t="shared" si="55"/>
        <v>0</v>
      </c>
      <c r="V114" s="122">
        <f t="shared" si="55"/>
        <v>0</v>
      </c>
      <c r="W114" s="122">
        <f t="shared" si="55"/>
        <v>0</v>
      </c>
      <c r="X114" s="122">
        <f t="shared" si="55"/>
        <v>0</v>
      </c>
      <c r="Y114" s="122">
        <f t="shared" si="55"/>
        <v>0</v>
      </c>
      <c r="Z114" s="122">
        <f t="shared" si="55"/>
        <v>0</v>
      </c>
      <c r="AA114" s="122">
        <f t="shared" si="55"/>
        <v>0</v>
      </c>
      <c r="AB114" s="122">
        <f t="shared" si="55"/>
        <v>0</v>
      </c>
      <c r="AC114" s="122">
        <f t="shared" si="55"/>
        <v>0</v>
      </c>
      <c r="AD114" s="122">
        <f t="shared" si="55"/>
        <v>0</v>
      </c>
      <c r="AE114" s="122">
        <f t="shared" si="55"/>
        <v>0</v>
      </c>
      <c r="AF114" s="122">
        <f t="shared" si="55"/>
        <v>0</v>
      </c>
      <c r="AG114" s="122">
        <f t="shared" si="55"/>
        <v>0</v>
      </c>
      <c r="AH114" s="122">
        <f t="shared" si="55"/>
        <v>0</v>
      </c>
      <c r="AI114" s="122">
        <f t="shared" si="55"/>
        <v>0</v>
      </c>
    </row>
    <row r="115" spans="1:36" s="5" customFormat="1" ht="18" customHeight="1" x14ac:dyDescent="0.25">
      <c r="A115" s="124" t="s">
        <v>61</v>
      </c>
      <c r="B115" s="124"/>
      <c r="C115" s="122"/>
      <c r="D115" s="137"/>
      <c r="E115" s="122"/>
      <c r="F115" s="154"/>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row>
    <row r="116" spans="1:36" s="5" customFormat="1" ht="18" customHeight="1" x14ac:dyDescent="0.25">
      <c r="A116" s="124" t="s">
        <v>77</v>
      </c>
      <c r="B116" s="124"/>
      <c r="C116" s="122"/>
      <c r="D116" s="137"/>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row>
    <row r="117" spans="1:36" s="5" customFormat="1" ht="18" customHeight="1" x14ac:dyDescent="0.25">
      <c r="A117" s="125" t="s">
        <v>47</v>
      </c>
      <c r="B117" s="125"/>
      <c r="C117" s="122"/>
      <c r="D117" s="137"/>
      <c r="E117" s="122"/>
      <c r="F117" s="122">
        <f t="shared" ref="F117:AI117" si="56">SUM(F114:F116)</f>
        <v>0</v>
      </c>
      <c r="G117" s="122">
        <f t="shared" si="56"/>
        <v>0</v>
      </c>
      <c r="H117" s="122">
        <f t="shared" si="56"/>
        <v>0</v>
      </c>
      <c r="I117" s="122">
        <f t="shared" si="56"/>
        <v>0</v>
      </c>
      <c r="J117" s="122">
        <f t="shared" si="56"/>
        <v>0</v>
      </c>
      <c r="K117" s="122">
        <f t="shared" si="56"/>
        <v>0</v>
      </c>
      <c r="L117" s="122">
        <f t="shared" si="56"/>
        <v>0</v>
      </c>
      <c r="M117" s="122">
        <f t="shared" si="56"/>
        <v>0</v>
      </c>
      <c r="N117" s="122">
        <f t="shared" si="56"/>
        <v>0</v>
      </c>
      <c r="O117" s="122">
        <f t="shared" si="56"/>
        <v>-525000</v>
      </c>
      <c r="P117" s="122">
        <f t="shared" si="56"/>
        <v>0</v>
      </c>
      <c r="Q117" s="122">
        <f t="shared" si="56"/>
        <v>0</v>
      </c>
      <c r="R117" s="122">
        <f t="shared" si="56"/>
        <v>0</v>
      </c>
      <c r="S117" s="122">
        <f t="shared" si="56"/>
        <v>0</v>
      </c>
      <c r="T117" s="122">
        <f t="shared" si="56"/>
        <v>0</v>
      </c>
      <c r="U117" s="122">
        <f t="shared" si="56"/>
        <v>0</v>
      </c>
      <c r="V117" s="122">
        <f t="shared" si="56"/>
        <v>0</v>
      </c>
      <c r="W117" s="122">
        <f t="shared" si="56"/>
        <v>0</v>
      </c>
      <c r="X117" s="122">
        <f t="shared" si="56"/>
        <v>0</v>
      </c>
      <c r="Y117" s="122">
        <f t="shared" si="56"/>
        <v>0</v>
      </c>
      <c r="Z117" s="122">
        <f t="shared" si="56"/>
        <v>0</v>
      </c>
      <c r="AA117" s="122">
        <f t="shared" si="56"/>
        <v>0</v>
      </c>
      <c r="AB117" s="122">
        <f t="shared" si="56"/>
        <v>0</v>
      </c>
      <c r="AC117" s="122">
        <f t="shared" si="56"/>
        <v>0</v>
      </c>
      <c r="AD117" s="122">
        <f t="shared" si="56"/>
        <v>0</v>
      </c>
      <c r="AE117" s="122">
        <f t="shared" si="56"/>
        <v>0</v>
      </c>
      <c r="AF117" s="122">
        <f t="shared" si="56"/>
        <v>0</v>
      </c>
      <c r="AG117" s="122">
        <f t="shared" si="56"/>
        <v>0</v>
      </c>
      <c r="AH117" s="122">
        <f t="shared" si="56"/>
        <v>0</v>
      </c>
      <c r="AI117" s="122">
        <f t="shared" si="56"/>
        <v>0</v>
      </c>
    </row>
    <row r="118" spans="1:36" s="21" customFormat="1" ht="15.75" x14ac:dyDescent="0.25">
      <c r="A118" s="135"/>
      <c r="B118" s="135"/>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row>
    <row r="119" spans="1:36" s="5" customFormat="1" ht="18" x14ac:dyDescent="0.25">
      <c r="A119" s="140" t="s">
        <v>133</v>
      </c>
      <c r="B119" s="155"/>
      <c r="C119" s="122"/>
      <c r="D119" s="137"/>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30"/>
    </row>
    <row r="120" spans="1:36" s="5" customFormat="1" ht="18" customHeight="1" x14ac:dyDescent="0.25">
      <c r="A120" s="121" t="s">
        <v>48</v>
      </c>
      <c r="B120" s="121"/>
      <c r="C120" s="122"/>
      <c r="D120" s="137"/>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row>
    <row r="121" spans="1:36" s="5" customFormat="1" ht="18" customHeight="1" x14ac:dyDescent="0.25">
      <c r="A121" s="123" t="s">
        <v>49</v>
      </c>
      <c r="B121" s="123"/>
      <c r="C121" s="122"/>
      <c r="D121" s="137"/>
      <c r="E121" s="122"/>
      <c r="F121" s="122">
        <f t="shared" ref="F121:AI121" si="57">IF(F$44=$B$16,$I$30,0)</f>
        <v>0</v>
      </c>
      <c r="G121" s="122">
        <f t="shared" si="57"/>
        <v>0</v>
      </c>
      <c r="H121" s="122">
        <f t="shared" si="57"/>
        <v>0</v>
      </c>
      <c r="I121" s="122">
        <f t="shared" si="57"/>
        <v>0</v>
      </c>
      <c r="J121" s="122">
        <f t="shared" si="57"/>
        <v>0</v>
      </c>
      <c r="K121" s="122">
        <f t="shared" si="57"/>
        <v>0</v>
      </c>
      <c r="L121" s="122">
        <f t="shared" si="57"/>
        <v>0</v>
      </c>
      <c r="M121" s="122">
        <f t="shared" si="57"/>
        <v>0</v>
      </c>
      <c r="N121" s="122">
        <f t="shared" si="57"/>
        <v>0</v>
      </c>
      <c r="O121" s="122">
        <f t="shared" si="57"/>
        <v>315000</v>
      </c>
      <c r="P121" s="122">
        <f t="shared" si="57"/>
        <v>0</v>
      </c>
      <c r="Q121" s="122">
        <f t="shared" si="57"/>
        <v>0</v>
      </c>
      <c r="R121" s="122">
        <f t="shared" si="57"/>
        <v>0</v>
      </c>
      <c r="S121" s="122">
        <f t="shared" si="57"/>
        <v>0</v>
      </c>
      <c r="T121" s="122">
        <f t="shared" si="57"/>
        <v>0</v>
      </c>
      <c r="U121" s="122">
        <f t="shared" si="57"/>
        <v>0</v>
      </c>
      <c r="V121" s="122">
        <f t="shared" si="57"/>
        <v>0</v>
      </c>
      <c r="W121" s="122">
        <f t="shared" si="57"/>
        <v>0</v>
      </c>
      <c r="X121" s="122">
        <f t="shared" si="57"/>
        <v>0</v>
      </c>
      <c r="Y121" s="122">
        <f t="shared" si="57"/>
        <v>0</v>
      </c>
      <c r="Z121" s="122">
        <f t="shared" si="57"/>
        <v>0</v>
      </c>
      <c r="AA121" s="122">
        <f t="shared" si="57"/>
        <v>0</v>
      </c>
      <c r="AB121" s="122">
        <f t="shared" si="57"/>
        <v>0</v>
      </c>
      <c r="AC121" s="122">
        <f t="shared" si="57"/>
        <v>0</v>
      </c>
      <c r="AD121" s="122">
        <f t="shared" si="57"/>
        <v>0</v>
      </c>
      <c r="AE121" s="122">
        <f t="shared" si="57"/>
        <v>0</v>
      </c>
      <c r="AF121" s="122">
        <f t="shared" si="57"/>
        <v>0</v>
      </c>
      <c r="AG121" s="122">
        <f t="shared" si="57"/>
        <v>0</v>
      </c>
      <c r="AH121" s="122">
        <f t="shared" si="57"/>
        <v>0</v>
      </c>
      <c r="AI121" s="122">
        <f t="shared" si="57"/>
        <v>0</v>
      </c>
    </row>
    <row r="122" spans="1:36" s="5" customFormat="1" ht="18" customHeight="1" x14ac:dyDescent="0.25">
      <c r="A122" s="124" t="s">
        <v>50</v>
      </c>
      <c r="B122" s="124"/>
      <c r="C122" s="122"/>
      <c r="D122" s="137"/>
      <c r="E122" s="122"/>
      <c r="F122" s="122">
        <f t="shared" ref="F122:AI122" si="58">F$133</f>
        <v>0</v>
      </c>
      <c r="G122" s="122">
        <f t="shared" si="58"/>
        <v>0</v>
      </c>
      <c r="H122" s="122">
        <f t="shared" si="58"/>
        <v>0</v>
      </c>
      <c r="I122" s="122">
        <f t="shared" si="58"/>
        <v>0</v>
      </c>
      <c r="J122" s="122">
        <f t="shared" si="58"/>
        <v>0</v>
      </c>
      <c r="K122" s="122">
        <f t="shared" si="58"/>
        <v>0</v>
      </c>
      <c r="L122" s="122">
        <f t="shared" si="58"/>
        <v>0</v>
      </c>
      <c r="M122" s="122">
        <f t="shared" si="58"/>
        <v>0</v>
      </c>
      <c r="N122" s="122">
        <f t="shared" si="58"/>
        <v>0</v>
      </c>
      <c r="O122" s="122">
        <f t="shared" si="58"/>
        <v>0</v>
      </c>
      <c r="P122" s="122">
        <f t="shared" si="58"/>
        <v>-23898.40683942091</v>
      </c>
      <c r="Q122" s="122">
        <f t="shared" si="58"/>
        <v>-25332.311249786166</v>
      </c>
      <c r="R122" s="122">
        <f t="shared" si="58"/>
        <v>-26852.249924773336</v>
      </c>
      <c r="S122" s="122">
        <f t="shared" si="58"/>
        <v>-28463.384920259734</v>
      </c>
      <c r="T122" s="122">
        <f t="shared" si="58"/>
        <v>-30171.18801547532</v>
      </c>
      <c r="U122" s="122">
        <f t="shared" si="58"/>
        <v>-31981.459296403838</v>
      </c>
      <c r="V122" s="122">
        <f t="shared" si="58"/>
        <v>-33900.346854188072</v>
      </c>
      <c r="W122" s="122">
        <f t="shared" si="58"/>
        <v>-35934.367665439349</v>
      </c>
      <c r="X122" s="122">
        <f t="shared" si="58"/>
        <v>-38090.429725365713</v>
      </c>
      <c r="Y122" s="122">
        <f t="shared" si="58"/>
        <v>-40375.85550888766</v>
      </c>
      <c r="Z122" s="122">
        <f t="shared" si="58"/>
        <v>0</v>
      </c>
      <c r="AA122" s="122">
        <f t="shared" si="58"/>
        <v>0</v>
      </c>
      <c r="AB122" s="122">
        <f t="shared" si="58"/>
        <v>0</v>
      </c>
      <c r="AC122" s="122">
        <f t="shared" si="58"/>
        <v>0</v>
      </c>
      <c r="AD122" s="122">
        <f t="shared" si="58"/>
        <v>0</v>
      </c>
      <c r="AE122" s="122">
        <f t="shared" si="58"/>
        <v>0</v>
      </c>
      <c r="AF122" s="122">
        <f t="shared" si="58"/>
        <v>0</v>
      </c>
      <c r="AG122" s="122">
        <f t="shared" si="58"/>
        <v>0</v>
      </c>
      <c r="AH122" s="122">
        <f t="shared" si="58"/>
        <v>0</v>
      </c>
      <c r="AI122" s="122">
        <f t="shared" si="58"/>
        <v>0</v>
      </c>
    </row>
    <row r="123" spans="1:36" s="5" customFormat="1" ht="18" customHeight="1" x14ac:dyDescent="0.25">
      <c r="A123" s="125" t="s">
        <v>51</v>
      </c>
      <c r="B123" s="125"/>
      <c r="C123" s="122"/>
      <c r="D123" s="137"/>
      <c r="E123" s="122"/>
      <c r="F123" s="122">
        <f>F121+F122</f>
        <v>0</v>
      </c>
      <c r="G123" s="122">
        <f t="shared" ref="G123:AI123" si="59">G121+G122</f>
        <v>0</v>
      </c>
      <c r="H123" s="122">
        <f t="shared" si="59"/>
        <v>0</v>
      </c>
      <c r="I123" s="122">
        <f t="shared" si="59"/>
        <v>0</v>
      </c>
      <c r="J123" s="122">
        <f t="shared" si="59"/>
        <v>0</v>
      </c>
      <c r="K123" s="122">
        <f t="shared" si="59"/>
        <v>0</v>
      </c>
      <c r="L123" s="122">
        <f t="shared" si="59"/>
        <v>0</v>
      </c>
      <c r="M123" s="122">
        <f t="shared" si="59"/>
        <v>0</v>
      </c>
      <c r="N123" s="122">
        <f t="shared" si="59"/>
        <v>0</v>
      </c>
      <c r="O123" s="122">
        <f t="shared" si="59"/>
        <v>315000</v>
      </c>
      <c r="P123" s="122">
        <f t="shared" si="59"/>
        <v>-23898.40683942091</v>
      </c>
      <c r="Q123" s="122">
        <f t="shared" si="59"/>
        <v>-25332.311249786166</v>
      </c>
      <c r="R123" s="122">
        <f t="shared" si="59"/>
        <v>-26852.249924773336</v>
      </c>
      <c r="S123" s="122">
        <f t="shared" si="59"/>
        <v>-28463.384920259734</v>
      </c>
      <c r="T123" s="122">
        <f t="shared" si="59"/>
        <v>-30171.18801547532</v>
      </c>
      <c r="U123" s="122">
        <f t="shared" si="59"/>
        <v>-31981.459296403838</v>
      </c>
      <c r="V123" s="122">
        <f t="shared" si="59"/>
        <v>-33900.346854188072</v>
      </c>
      <c r="W123" s="122">
        <f t="shared" si="59"/>
        <v>-35934.367665439349</v>
      </c>
      <c r="X123" s="122">
        <f t="shared" si="59"/>
        <v>-38090.429725365713</v>
      </c>
      <c r="Y123" s="122">
        <f t="shared" si="59"/>
        <v>-40375.85550888766</v>
      </c>
      <c r="Z123" s="122">
        <f t="shared" si="59"/>
        <v>0</v>
      </c>
      <c r="AA123" s="122">
        <f t="shared" si="59"/>
        <v>0</v>
      </c>
      <c r="AB123" s="122">
        <f t="shared" si="59"/>
        <v>0</v>
      </c>
      <c r="AC123" s="122">
        <f t="shared" si="59"/>
        <v>0</v>
      </c>
      <c r="AD123" s="122">
        <f t="shared" si="59"/>
        <v>0</v>
      </c>
      <c r="AE123" s="122">
        <f t="shared" si="59"/>
        <v>0</v>
      </c>
      <c r="AF123" s="122">
        <f t="shared" si="59"/>
        <v>0</v>
      </c>
      <c r="AG123" s="122">
        <f t="shared" si="59"/>
        <v>0</v>
      </c>
      <c r="AH123" s="122">
        <f t="shared" si="59"/>
        <v>0</v>
      </c>
      <c r="AI123" s="122">
        <f t="shared" si="59"/>
        <v>0</v>
      </c>
    </row>
    <row r="124" spans="1:36" s="5" customFormat="1" ht="18" customHeight="1" x14ac:dyDescent="0.25">
      <c r="A124" s="126"/>
      <c r="B124" s="126"/>
      <c r="C124" s="122"/>
      <c r="D124" s="137"/>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row>
    <row r="125" spans="1:36" s="21" customFormat="1" ht="18" customHeight="1" x14ac:dyDescent="0.25">
      <c r="A125" s="92" t="s">
        <v>60</v>
      </c>
      <c r="B125" s="93"/>
      <c r="C125" s="94"/>
      <c r="D125" s="94"/>
      <c r="E125" s="94"/>
      <c r="F125" s="94">
        <f>F112+F117+F123</f>
        <v>0</v>
      </c>
      <c r="G125" s="94">
        <f t="shared" ref="G125:AI125" si="60">G112+G117+G123</f>
        <v>0</v>
      </c>
      <c r="H125" s="94">
        <f t="shared" si="60"/>
        <v>0</v>
      </c>
      <c r="I125" s="94">
        <f t="shared" si="60"/>
        <v>0</v>
      </c>
      <c r="J125" s="94">
        <f t="shared" si="60"/>
        <v>0</v>
      </c>
      <c r="K125" s="94">
        <f t="shared" si="60"/>
        <v>0</v>
      </c>
      <c r="L125" s="94">
        <f t="shared" si="60"/>
        <v>0</v>
      </c>
      <c r="M125" s="94">
        <f t="shared" si="60"/>
        <v>0</v>
      </c>
      <c r="N125" s="94">
        <f t="shared" si="60"/>
        <v>0</v>
      </c>
      <c r="O125" s="94">
        <f t="shared" si="60"/>
        <v>-210000</v>
      </c>
      <c r="P125" s="94">
        <f t="shared" si="60"/>
        <v>81241.325998346409</v>
      </c>
      <c r="Q125" s="94">
        <f t="shared" si="60"/>
        <v>79592.188501120516</v>
      </c>
      <c r="R125" s="94">
        <f t="shared" si="60"/>
        <v>77914.48917269081</v>
      </c>
      <c r="S125" s="94">
        <f t="shared" si="60"/>
        <v>76206.603521321478</v>
      </c>
      <c r="T125" s="94">
        <f t="shared" si="60"/>
        <v>74466.818179451642</v>
      </c>
      <c r="U125" s="94">
        <f t="shared" si="60"/>
        <v>72693.325724535796</v>
      </c>
      <c r="V125" s="94">
        <f t="shared" si="60"/>
        <v>70884.219192835255</v>
      </c>
      <c r="W125" s="94">
        <f t="shared" si="60"/>
        <v>69037.486267823871</v>
      </c>
      <c r="X125" s="94">
        <f t="shared" si="60"/>
        <v>67151.003123774164</v>
      </c>
      <c r="Y125" s="94">
        <f t="shared" si="60"/>
        <v>14346.527903924529</v>
      </c>
      <c r="Z125" s="94">
        <f t="shared" si="60"/>
        <v>142733.75303263211</v>
      </c>
      <c r="AA125" s="94">
        <f t="shared" si="60"/>
        <v>144629.84528261572</v>
      </c>
      <c r="AB125" s="94">
        <f t="shared" si="60"/>
        <v>146553.08760779581</v>
      </c>
      <c r="AC125" s="94">
        <f t="shared" si="60"/>
        <v>148503.79983859742</v>
      </c>
      <c r="AD125" s="94">
        <f t="shared" si="60"/>
        <v>150482.30473909265</v>
      </c>
      <c r="AE125" s="94">
        <f t="shared" si="60"/>
        <v>0</v>
      </c>
      <c r="AF125" s="94">
        <f t="shared" si="60"/>
        <v>0</v>
      </c>
      <c r="AG125" s="94">
        <f t="shared" si="60"/>
        <v>0</v>
      </c>
      <c r="AH125" s="94">
        <f t="shared" si="60"/>
        <v>0</v>
      </c>
      <c r="AI125" s="94">
        <f t="shared" si="60"/>
        <v>0</v>
      </c>
    </row>
    <row r="126" spans="1:36" s="21" customFormat="1" ht="18" customHeight="1" x14ac:dyDescent="0.25">
      <c r="A126" s="121" t="s">
        <v>59</v>
      </c>
      <c r="B126" s="121"/>
      <c r="C126" s="129"/>
      <c r="D126" s="137"/>
      <c r="E126" s="129"/>
      <c r="F126" s="129">
        <f>E126+F125</f>
        <v>0</v>
      </c>
      <c r="G126" s="129">
        <f t="shared" ref="G126:AD126" si="61">F126+G125</f>
        <v>0</v>
      </c>
      <c r="H126" s="129">
        <f t="shared" si="61"/>
        <v>0</v>
      </c>
      <c r="I126" s="129">
        <f t="shared" si="61"/>
        <v>0</v>
      </c>
      <c r="J126" s="129">
        <f t="shared" si="61"/>
        <v>0</v>
      </c>
      <c r="K126" s="129">
        <f t="shared" si="61"/>
        <v>0</v>
      </c>
      <c r="L126" s="129">
        <f t="shared" si="61"/>
        <v>0</v>
      </c>
      <c r="M126" s="129">
        <f t="shared" si="61"/>
        <v>0</v>
      </c>
      <c r="N126" s="129">
        <f t="shared" si="61"/>
        <v>0</v>
      </c>
      <c r="O126" s="129">
        <f t="shared" si="61"/>
        <v>-210000</v>
      </c>
      <c r="P126" s="129">
        <f t="shared" si="61"/>
        <v>-128758.67400165359</v>
      </c>
      <c r="Q126" s="129">
        <f t="shared" si="61"/>
        <v>-49166.485500533076</v>
      </c>
      <c r="R126" s="129">
        <f t="shared" si="61"/>
        <v>28748.003672157734</v>
      </c>
      <c r="S126" s="129">
        <f t="shared" si="61"/>
        <v>104954.60719347921</v>
      </c>
      <c r="T126" s="129">
        <f t="shared" si="61"/>
        <v>179421.42537293085</v>
      </c>
      <c r="U126" s="129">
        <f t="shared" si="61"/>
        <v>252114.75109746665</v>
      </c>
      <c r="V126" s="129">
        <f t="shared" si="61"/>
        <v>322998.97029030189</v>
      </c>
      <c r="W126" s="129">
        <f t="shared" si="61"/>
        <v>392036.45655812579</v>
      </c>
      <c r="X126" s="129">
        <f t="shared" si="61"/>
        <v>459187.45968189999</v>
      </c>
      <c r="Y126" s="129">
        <f t="shared" si="61"/>
        <v>473533.98758582451</v>
      </c>
      <c r="Z126" s="129">
        <f t="shared" si="61"/>
        <v>616267.74061845662</v>
      </c>
      <c r="AA126" s="129">
        <f t="shared" si="61"/>
        <v>760897.58590107237</v>
      </c>
      <c r="AB126" s="129">
        <f t="shared" si="61"/>
        <v>907450.6735088682</v>
      </c>
      <c r="AC126" s="129">
        <f t="shared" si="61"/>
        <v>1055954.4733474655</v>
      </c>
      <c r="AD126" s="129">
        <f t="shared" si="61"/>
        <v>1206436.7780865582</v>
      </c>
      <c r="AE126" s="129">
        <f>AD126+AE125</f>
        <v>1206436.7780865582</v>
      </c>
      <c r="AF126" s="129">
        <f t="shared" ref="AF126:AI126" si="62">AE126+AF125</f>
        <v>1206436.7780865582</v>
      </c>
      <c r="AG126" s="129">
        <f t="shared" si="62"/>
        <v>1206436.7780865582</v>
      </c>
      <c r="AH126" s="129">
        <f t="shared" si="62"/>
        <v>1206436.7780865582</v>
      </c>
      <c r="AI126" s="129">
        <f t="shared" si="62"/>
        <v>1206436.7780865582</v>
      </c>
    </row>
    <row r="127" spans="1:36" s="5" customFormat="1" ht="19.5" customHeight="1" x14ac:dyDescent="0.25">
      <c r="A127" s="126"/>
      <c r="B127" s="126"/>
      <c r="C127" s="122"/>
      <c r="D127" s="137"/>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row>
    <row r="128" spans="1:36" s="5" customFormat="1" ht="21" customHeight="1" x14ac:dyDescent="0.4">
      <c r="A128" s="158" t="s">
        <v>134</v>
      </c>
      <c r="B128" s="130"/>
      <c r="C128" s="130"/>
      <c r="D128" s="137"/>
      <c r="E128" s="130"/>
      <c r="F128" s="130"/>
      <c r="G128" s="130"/>
      <c r="H128" s="130"/>
      <c r="I128" s="130"/>
      <c r="J128" s="130"/>
      <c r="K128" s="130"/>
      <c r="L128" s="130"/>
      <c r="M128" s="130"/>
      <c r="N128" s="130"/>
      <c r="O128" s="130"/>
      <c r="P128" s="131"/>
      <c r="Q128" s="131"/>
      <c r="R128" s="131"/>
      <c r="S128" s="131"/>
      <c r="T128" s="131"/>
      <c r="U128" s="131"/>
      <c r="V128" s="131"/>
      <c r="W128" s="131"/>
      <c r="X128" s="131"/>
      <c r="Y128" s="131"/>
      <c r="Z128" s="132"/>
      <c r="AA128" s="132"/>
      <c r="AB128" s="132"/>
      <c r="AC128" s="132"/>
      <c r="AD128" s="132"/>
      <c r="AE128" s="132"/>
      <c r="AF128" s="132"/>
      <c r="AG128" s="132"/>
      <c r="AH128" s="132"/>
      <c r="AI128" s="132"/>
    </row>
    <row r="129" spans="1:35" s="5" customFormat="1" ht="15.75" x14ac:dyDescent="0.25">
      <c r="A129" s="132"/>
      <c r="B129" s="132"/>
      <c r="C129" s="133"/>
      <c r="D129" s="137"/>
      <c r="E129" s="133"/>
      <c r="F129" s="134" t="s">
        <v>3</v>
      </c>
      <c r="G129" s="134" t="s">
        <v>3</v>
      </c>
      <c r="H129" s="134" t="s">
        <v>3</v>
      </c>
      <c r="I129" s="134" t="s">
        <v>3</v>
      </c>
      <c r="J129" s="134" t="s">
        <v>3</v>
      </c>
      <c r="K129" s="134" t="s">
        <v>3</v>
      </c>
      <c r="L129" s="134" t="s">
        <v>3</v>
      </c>
      <c r="M129" s="134" t="s">
        <v>3</v>
      </c>
      <c r="N129" s="134" t="s">
        <v>3</v>
      </c>
      <c r="O129" s="134" t="s">
        <v>3</v>
      </c>
      <c r="P129" s="134" t="s">
        <v>3</v>
      </c>
      <c r="Q129" s="134" t="s">
        <v>3</v>
      </c>
      <c r="R129" s="134" t="s">
        <v>3</v>
      </c>
      <c r="S129" s="134" t="s">
        <v>3</v>
      </c>
      <c r="T129" s="134" t="s">
        <v>3</v>
      </c>
      <c r="U129" s="134" t="s">
        <v>3</v>
      </c>
      <c r="V129" s="134" t="s">
        <v>3</v>
      </c>
      <c r="W129" s="134" t="s">
        <v>3</v>
      </c>
      <c r="X129" s="134" t="s">
        <v>3</v>
      </c>
      <c r="Y129" s="134" t="s">
        <v>3</v>
      </c>
      <c r="Z129" s="134" t="s">
        <v>3</v>
      </c>
      <c r="AA129" s="134" t="s">
        <v>3</v>
      </c>
      <c r="AB129" s="134" t="s">
        <v>3</v>
      </c>
      <c r="AC129" s="134" t="s">
        <v>3</v>
      </c>
      <c r="AD129" s="134" t="s">
        <v>3</v>
      </c>
      <c r="AE129" s="134" t="s">
        <v>3</v>
      </c>
      <c r="AF129" s="134" t="s">
        <v>3</v>
      </c>
      <c r="AG129" s="134" t="s">
        <v>3</v>
      </c>
      <c r="AH129" s="134" t="s">
        <v>3</v>
      </c>
      <c r="AI129" s="134" t="s">
        <v>3</v>
      </c>
    </row>
    <row r="130" spans="1:35" s="5" customFormat="1" ht="15.75" x14ac:dyDescent="0.25">
      <c r="A130" s="135"/>
      <c r="B130" s="135"/>
      <c r="C130" s="133"/>
      <c r="D130" s="137"/>
      <c r="E130" s="133"/>
      <c r="F130" s="136">
        <v>1</v>
      </c>
      <c r="G130" s="136">
        <v>2</v>
      </c>
      <c r="H130" s="136">
        <v>3</v>
      </c>
      <c r="I130" s="136">
        <v>4</v>
      </c>
      <c r="J130" s="136">
        <v>5</v>
      </c>
      <c r="K130" s="136">
        <v>6</v>
      </c>
      <c r="L130" s="136">
        <v>7</v>
      </c>
      <c r="M130" s="136">
        <v>8</v>
      </c>
      <c r="N130" s="136">
        <v>9</v>
      </c>
      <c r="O130" s="136">
        <v>10</v>
      </c>
      <c r="P130" s="136">
        <v>11</v>
      </c>
      <c r="Q130" s="136">
        <v>12</v>
      </c>
      <c r="R130" s="136">
        <v>13</v>
      </c>
      <c r="S130" s="136">
        <v>14</v>
      </c>
      <c r="T130" s="136">
        <v>15</v>
      </c>
      <c r="U130" s="136">
        <v>16</v>
      </c>
      <c r="V130" s="136">
        <v>17</v>
      </c>
      <c r="W130" s="136">
        <v>18</v>
      </c>
      <c r="X130" s="136">
        <v>19</v>
      </c>
      <c r="Y130" s="136">
        <v>20</v>
      </c>
      <c r="Z130" s="136">
        <v>21</v>
      </c>
      <c r="AA130" s="136">
        <v>22</v>
      </c>
      <c r="AB130" s="136">
        <v>23</v>
      </c>
      <c r="AC130" s="136">
        <v>24</v>
      </c>
      <c r="AD130" s="136">
        <v>25</v>
      </c>
      <c r="AE130" s="136">
        <v>26</v>
      </c>
      <c r="AF130" s="136">
        <v>27</v>
      </c>
      <c r="AG130" s="136">
        <v>28</v>
      </c>
      <c r="AH130" s="136">
        <v>29</v>
      </c>
      <c r="AI130" s="136">
        <v>30</v>
      </c>
    </row>
    <row r="131" spans="1:35" s="5" customFormat="1" ht="15.75" x14ac:dyDescent="0.25">
      <c r="A131" s="132" t="s">
        <v>41</v>
      </c>
      <c r="B131" s="132"/>
      <c r="C131" s="133"/>
      <c r="D131" s="137"/>
      <c r="E131" s="133"/>
      <c r="F131" s="133">
        <f t="shared" ref="F131:AI131" si="63">IF(F$44=$B$16,F$121,+E135)</f>
        <v>0</v>
      </c>
      <c r="G131" s="133">
        <f t="shared" si="63"/>
        <v>0</v>
      </c>
      <c r="H131" s="133">
        <f t="shared" si="63"/>
        <v>0</v>
      </c>
      <c r="I131" s="133">
        <f t="shared" si="63"/>
        <v>0</v>
      </c>
      <c r="J131" s="133">
        <f t="shared" si="63"/>
        <v>0</v>
      </c>
      <c r="K131" s="133">
        <f t="shared" si="63"/>
        <v>0</v>
      </c>
      <c r="L131" s="133">
        <f t="shared" si="63"/>
        <v>0</v>
      </c>
      <c r="M131" s="133">
        <f t="shared" si="63"/>
        <v>0</v>
      </c>
      <c r="N131" s="133">
        <f t="shared" si="63"/>
        <v>0</v>
      </c>
      <c r="O131" s="133">
        <f t="shared" si="63"/>
        <v>315000</v>
      </c>
      <c r="P131" s="133">
        <f t="shared" si="63"/>
        <v>315000</v>
      </c>
      <c r="Q131" s="133">
        <f t="shared" si="63"/>
        <v>291101.5931605791</v>
      </c>
      <c r="R131" s="133">
        <f t="shared" si="63"/>
        <v>265769.28191079292</v>
      </c>
      <c r="S131" s="133">
        <f t="shared" si="63"/>
        <v>238917.03198601957</v>
      </c>
      <c r="T131" s="133">
        <f t="shared" si="63"/>
        <v>210453.64706575984</v>
      </c>
      <c r="U131" s="133">
        <f t="shared" si="63"/>
        <v>180282.45905028452</v>
      </c>
      <c r="V131" s="133">
        <f t="shared" si="63"/>
        <v>148300.99975388069</v>
      </c>
      <c r="W131" s="133">
        <f t="shared" si="63"/>
        <v>114400.65289969262</v>
      </c>
      <c r="X131" s="133">
        <f t="shared" si="63"/>
        <v>78466.285234253271</v>
      </c>
      <c r="Y131" s="133">
        <f t="shared" si="63"/>
        <v>40375.855508887558</v>
      </c>
      <c r="Z131" s="133">
        <f t="shared" si="63"/>
        <v>-1.0186340659856796E-10</v>
      </c>
      <c r="AA131" s="133">
        <f t="shared" si="63"/>
        <v>-1.0186340659856796E-10</v>
      </c>
      <c r="AB131" s="133">
        <f t="shared" si="63"/>
        <v>-1.0186340659856796E-10</v>
      </c>
      <c r="AC131" s="133">
        <f t="shared" si="63"/>
        <v>-1.0186340659856796E-10</v>
      </c>
      <c r="AD131" s="133">
        <f t="shared" si="63"/>
        <v>-1.0186340659856796E-10</v>
      </c>
      <c r="AE131" s="133">
        <f t="shared" si="63"/>
        <v>-1.0186340659856796E-10</v>
      </c>
      <c r="AF131" s="133">
        <f t="shared" si="63"/>
        <v>-1.0186340659856796E-10</v>
      </c>
      <c r="AG131" s="133">
        <f t="shared" si="63"/>
        <v>-1.0186340659856796E-10</v>
      </c>
      <c r="AH131" s="133">
        <f t="shared" si="63"/>
        <v>-1.0186340659856796E-10</v>
      </c>
      <c r="AI131" s="133">
        <f t="shared" si="63"/>
        <v>-1.0186340659856796E-10</v>
      </c>
    </row>
    <row r="132" spans="1:35" s="5" customFormat="1" ht="15.75" x14ac:dyDescent="0.25">
      <c r="A132" s="132" t="s">
        <v>42</v>
      </c>
      <c r="B132" s="132"/>
      <c r="C132" s="133"/>
      <c r="D132" s="137"/>
      <c r="E132" s="133"/>
      <c r="F132" s="133">
        <f t="shared" ref="F132:AI132" si="64">IF(AND(F$44&gt;$B$16, F$44&lt;=$B$16+$I$28),PMT($I$27,$I$28,$I$30),0)</f>
        <v>0</v>
      </c>
      <c r="G132" s="133">
        <f t="shared" si="64"/>
        <v>0</v>
      </c>
      <c r="H132" s="133">
        <f t="shared" si="64"/>
        <v>0</v>
      </c>
      <c r="I132" s="133">
        <f t="shared" si="64"/>
        <v>0</v>
      </c>
      <c r="J132" s="133">
        <f t="shared" si="64"/>
        <v>0</v>
      </c>
      <c r="K132" s="133">
        <f t="shared" si="64"/>
        <v>0</v>
      </c>
      <c r="L132" s="133">
        <f t="shared" si="64"/>
        <v>0</v>
      </c>
      <c r="M132" s="133">
        <f t="shared" si="64"/>
        <v>0</v>
      </c>
      <c r="N132" s="133">
        <f t="shared" si="64"/>
        <v>0</v>
      </c>
      <c r="O132" s="133">
        <f t="shared" si="64"/>
        <v>0</v>
      </c>
      <c r="P132" s="133">
        <f t="shared" si="64"/>
        <v>-42798.40683942091</v>
      </c>
      <c r="Q132" s="133">
        <f t="shared" si="64"/>
        <v>-42798.40683942091</v>
      </c>
      <c r="R132" s="133">
        <f t="shared" si="64"/>
        <v>-42798.40683942091</v>
      </c>
      <c r="S132" s="133">
        <f t="shared" si="64"/>
        <v>-42798.40683942091</v>
      </c>
      <c r="T132" s="133">
        <f t="shared" si="64"/>
        <v>-42798.40683942091</v>
      </c>
      <c r="U132" s="133">
        <f t="shared" si="64"/>
        <v>-42798.40683942091</v>
      </c>
      <c r="V132" s="133">
        <f t="shared" si="64"/>
        <v>-42798.40683942091</v>
      </c>
      <c r="W132" s="133">
        <f t="shared" si="64"/>
        <v>-42798.40683942091</v>
      </c>
      <c r="X132" s="133">
        <f t="shared" si="64"/>
        <v>-42798.40683942091</v>
      </c>
      <c r="Y132" s="133">
        <f t="shared" si="64"/>
        <v>-42798.40683942091</v>
      </c>
      <c r="Z132" s="133">
        <f t="shared" si="64"/>
        <v>0</v>
      </c>
      <c r="AA132" s="133">
        <f t="shared" si="64"/>
        <v>0</v>
      </c>
      <c r="AB132" s="133">
        <f t="shared" si="64"/>
        <v>0</v>
      </c>
      <c r="AC132" s="133">
        <f t="shared" si="64"/>
        <v>0</v>
      </c>
      <c r="AD132" s="133">
        <f t="shared" si="64"/>
        <v>0</v>
      </c>
      <c r="AE132" s="133">
        <f t="shared" si="64"/>
        <v>0</v>
      </c>
      <c r="AF132" s="133">
        <f t="shared" si="64"/>
        <v>0</v>
      </c>
      <c r="AG132" s="133">
        <f t="shared" si="64"/>
        <v>0</v>
      </c>
      <c r="AH132" s="133">
        <f t="shared" si="64"/>
        <v>0</v>
      </c>
      <c r="AI132" s="133">
        <f t="shared" si="64"/>
        <v>0</v>
      </c>
    </row>
    <row r="133" spans="1:35" s="5" customFormat="1" ht="15.75" x14ac:dyDescent="0.25">
      <c r="A133" s="132" t="s">
        <v>43</v>
      </c>
      <c r="B133" s="132"/>
      <c r="C133" s="133"/>
      <c r="D133" s="137"/>
      <c r="E133" s="133"/>
      <c r="F133" s="133">
        <f>F132-F134</f>
        <v>0</v>
      </c>
      <c r="G133" s="133">
        <f t="shared" ref="G133:AI133" si="65">G132-G134</f>
        <v>0</v>
      </c>
      <c r="H133" s="133">
        <f t="shared" si="65"/>
        <v>0</v>
      </c>
      <c r="I133" s="133">
        <f t="shared" si="65"/>
        <v>0</v>
      </c>
      <c r="J133" s="133">
        <f t="shared" si="65"/>
        <v>0</v>
      </c>
      <c r="K133" s="133">
        <f t="shared" si="65"/>
        <v>0</v>
      </c>
      <c r="L133" s="133">
        <f t="shared" si="65"/>
        <v>0</v>
      </c>
      <c r="M133" s="133">
        <f t="shared" si="65"/>
        <v>0</v>
      </c>
      <c r="N133" s="133">
        <f t="shared" si="65"/>
        <v>0</v>
      </c>
      <c r="O133" s="133">
        <f t="shared" si="65"/>
        <v>0</v>
      </c>
      <c r="P133" s="133">
        <f t="shared" si="65"/>
        <v>-23898.40683942091</v>
      </c>
      <c r="Q133" s="133">
        <f t="shared" si="65"/>
        <v>-25332.311249786166</v>
      </c>
      <c r="R133" s="133">
        <f t="shared" si="65"/>
        <v>-26852.249924773336</v>
      </c>
      <c r="S133" s="133">
        <f t="shared" si="65"/>
        <v>-28463.384920259734</v>
      </c>
      <c r="T133" s="133">
        <f t="shared" si="65"/>
        <v>-30171.18801547532</v>
      </c>
      <c r="U133" s="133">
        <f t="shared" si="65"/>
        <v>-31981.459296403838</v>
      </c>
      <c r="V133" s="133">
        <f t="shared" si="65"/>
        <v>-33900.346854188072</v>
      </c>
      <c r="W133" s="133">
        <f t="shared" si="65"/>
        <v>-35934.367665439349</v>
      </c>
      <c r="X133" s="133">
        <f t="shared" si="65"/>
        <v>-38090.429725365713</v>
      </c>
      <c r="Y133" s="133">
        <f t="shared" si="65"/>
        <v>-40375.85550888766</v>
      </c>
      <c r="Z133" s="133">
        <f t="shared" si="65"/>
        <v>0</v>
      </c>
      <c r="AA133" s="133">
        <f t="shared" si="65"/>
        <v>0</v>
      </c>
      <c r="AB133" s="133">
        <f t="shared" si="65"/>
        <v>0</v>
      </c>
      <c r="AC133" s="133">
        <f t="shared" si="65"/>
        <v>0</v>
      </c>
      <c r="AD133" s="133">
        <f t="shared" si="65"/>
        <v>0</v>
      </c>
      <c r="AE133" s="133">
        <f t="shared" si="65"/>
        <v>0</v>
      </c>
      <c r="AF133" s="133">
        <f t="shared" si="65"/>
        <v>0</v>
      </c>
      <c r="AG133" s="133">
        <f t="shared" si="65"/>
        <v>0</v>
      </c>
      <c r="AH133" s="133">
        <f t="shared" si="65"/>
        <v>0</v>
      </c>
      <c r="AI133" s="133">
        <f t="shared" si="65"/>
        <v>0</v>
      </c>
    </row>
    <row r="134" spans="1:35" s="5" customFormat="1" ht="15.75" x14ac:dyDescent="0.25">
      <c r="A134" s="132" t="s">
        <v>44</v>
      </c>
      <c r="B134" s="132"/>
      <c r="C134" s="133"/>
      <c r="D134" s="137"/>
      <c r="E134" s="133"/>
      <c r="F134" s="133">
        <f t="shared" ref="F134:AI134" si="66">IF(AND(F$44&gt;$B$16, F$44&lt;=$B$16+$I$28),-F$131*$I$27,0)</f>
        <v>0</v>
      </c>
      <c r="G134" s="133">
        <f t="shared" si="66"/>
        <v>0</v>
      </c>
      <c r="H134" s="133">
        <f t="shared" si="66"/>
        <v>0</v>
      </c>
      <c r="I134" s="133">
        <f t="shared" si="66"/>
        <v>0</v>
      </c>
      <c r="J134" s="133">
        <f t="shared" si="66"/>
        <v>0</v>
      </c>
      <c r="K134" s="133">
        <f t="shared" si="66"/>
        <v>0</v>
      </c>
      <c r="L134" s="133">
        <f t="shared" si="66"/>
        <v>0</v>
      </c>
      <c r="M134" s="133">
        <f t="shared" si="66"/>
        <v>0</v>
      </c>
      <c r="N134" s="133">
        <f t="shared" si="66"/>
        <v>0</v>
      </c>
      <c r="O134" s="133">
        <f t="shared" si="66"/>
        <v>0</v>
      </c>
      <c r="P134" s="133">
        <f t="shared" si="66"/>
        <v>-18900</v>
      </c>
      <c r="Q134" s="133">
        <f t="shared" si="66"/>
        <v>-17466.095589634744</v>
      </c>
      <c r="R134" s="133">
        <f t="shared" si="66"/>
        <v>-15946.156914647574</v>
      </c>
      <c r="S134" s="133">
        <f t="shared" si="66"/>
        <v>-14335.021919161174</v>
      </c>
      <c r="T134" s="133">
        <f t="shared" si="66"/>
        <v>-12627.21882394559</v>
      </c>
      <c r="U134" s="133">
        <f t="shared" si="66"/>
        <v>-10816.947543017071</v>
      </c>
      <c r="V134" s="133">
        <f t="shared" si="66"/>
        <v>-8898.0599852328414</v>
      </c>
      <c r="W134" s="133">
        <f t="shared" si="66"/>
        <v>-6864.0391739815568</v>
      </c>
      <c r="X134" s="133">
        <f t="shared" si="66"/>
        <v>-4707.9771140551957</v>
      </c>
      <c r="Y134" s="133">
        <f t="shared" si="66"/>
        <v>-2422.5513305332533</v>
      </c>
      <c r="Z134" s="133">
        <f t="shared" si="66"/>
        <v>0</v>
      </c>
      <c r="AA134" s="133">
        <f t="shared" si="66"/>
        <v>0</v>
      </c>
      <c r="AB134" s="133">
        <f t="shared" si="66"/>
        <v>0</v>
      </c>
      <c r="AC134" s="133">
        <f t="shared" si="66"/>
        <v>0</v>
      </c>
      <c r="AD134" s="133">
        <f t="shared" si="66"/>
        <v>0</v>
      </c>
      <c r="AE134" s="133">
        <f t="shared" si="66"/>
        <v>0</v>
      </c>
      <c r="AF134" s="133">
        <f t="shared" si="66"/>
        <v>0</v>
      </c>
      <c r="AG134" s="133">
        <f t="shared" si="66"/>
        <v>0</v>
      </c>
      <c r="AH134" s="133">
        <f t="shared" si="66"/>
        <v>0</v>
      </c>
      <c r="AI134" s="133">
        <f t="shared" si="66"/>
        <v>0</v>
      </c>
    </row>
    <row r="135" spans="1:35" s="21" customFormat="1" ht="15.75" x14ac:dyDescent="0.25">
      <c r="A135" s="135" t="s">
        <v>45</v>
      </c>
      <c r="B135" s="135"/>
      <c r="C135" s="137"/>
      <c r="D135" s="137"/>
      <c r="E135" s="137"/>
      <c r="F135" s="137">
        <f>F131+F133</f>
        <v>0</v>
      </c>
      <c r="G135" s="137">
        <f t="shared" ref="G135:AI135" si="67">G131+G133</f>
        <v>0</v>
      </c>
      <c r="H135" s="137">
        <f t="shared" si="67"/>
        <v>0</v>
      </c>
      <c r="I135" s="137">
        <f t="shared" si="67"/>
        <v>0</v>
      </c>
      <c r="J135" s="137">
        <f t="shared" si="67"/>
        <v>0</v>
      </c>
      <c r="K135" s="137">
        <f t="shared" si="67"/>
        <v>0</v>
      </c>
      <c r="L135" s="137">
        <f t="shared" si="67"/>
        <v>0</v>
      </c>
      <c r="M135" s="137">
        <f>M131+M133</f>
        <v>0</v>
      </c>
      <c r="N135" s="137">
        <f t="shared" si="67"/>
        <v>0</v>
      </c>
      <c r="O135" s="137">
        <f t="shared" si="67"/>
        <v>315000</v>
      </c>
      <c r="P135" s="137">
        <f t="shared" si="67"/>
        <v>291101.5931605791</v>
      </c>
      <c r="Q135" s="137">
        <f t="shared" si="67"/>
        <v>265769.28191079292</v>
      </c>
      <c r="R135" s="137">
        <f t="shared" si="67"/>
        <v>238917.03198601957</v>
      </c>
      <c r="S135" s="137">
        <f t="shared" si="67"/>
        <v>210453.64706575984</v>
      </c>
      <c r="T135" s="137">
        <f t="shared" si="67"/>
        <v>180282.45905028452</v>
      </c>
      <c r="U135" s="137">
        <f t="shared" si="67"/>
        <v>148300.99975388069</v>
      </c>
      <c r="V135" s="137">
        <f t="shared" si="67"/>
        <v>114400.65289969262</v>
      </c>
      <c r="W135" s="137">
        <f t="shared" si="67"/>
        <v>78466.285234253271</v>
      </c>
      <c r="X135" s="137">
        <f t="shared" si="67"/>
        <v>40375.855508887558</v>
      </c>
      <c r="Y135" s="137">
        <f t="shared" si="67"/>
        <v>-1.0186340659856796E-10</v>
      </c>
      <c r="Z135" s="137">
        <f t="shared" si="67"/>
        <v>-1.0186340659856796E-10</v>
      </c>
      <c r="AA135" s="137">
        <f t="shared" si="67"/>
        <v>-1.0186340659856796E-10</v>
      </c>
      <c r="AB135" s="137">
        <f t="shared" si="67"/>
        <v>-1.0186340659856796E-10</v>
      </c>
      <c r="AC135" s="137">
        <f t="shared" si="67"/>
        <v>-1.0186340659856796E-10</v>
      </c>
      <c r="AD135" s="137">
        <f t="shared" si="67"/>
        <v>-1.0186340659856796E-10</v>
      </c>
      <c r="AE135" s="137">
        <f t="shared" si="67"/>
        <v>-1.0186340659856796E-10</v>
      </c>
      <c r="AF135" s="137">
        <f t="shared" si="67"/>
        <v>-1.0186340659856796E-10</v>
      </c>
      <c r="AG135" s="137">
        <f t="shared" si="67"/>
        <v>-1.0186340659856796E-10</v>
      </c>
      <c r="AH135" s="137">
        <f t="shared" si="67"/>
        <v>-1.0186340659856796E-10</v>
      </c>
      <c r="AI135" s="137">
        <f t="shared" si="67"/>
        <v>-1.0186340659856796E-10</v>
      </c>
    </row>
    <row r="136" spans="1:35" s="5" customFormat="1" x14ac:dyDescent="0.2">
      <c r="C136" s="22"/>
      <c r="U136" s="27"/>
    </row>
    <row r="137" spans="1:35" x14ac:dyDescent="0.2">
      <c r="T137" s="2"/>
      <c r="U137" s="26"/>
    </row>
    <row r="138" spans="1:35" ht="26.25" x14ac:dyDescent="0.4">
      <c r="A138" s="111" t="s">
        <v>135</v>
      </c>
      <c r="B138" s="10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10"/>
      <c r="AA138" s="110"/>
      <c r="AB138" s="110"/>
      <c r="AC138" s="110"/>
      <c r="AD138" s="110"/>
      <c r="AE138" s="110"/>
      <c r="AF138" s="110"/>
      <c r="AG138" s="110"/>
      <c r="AH138" s="110"/>
      <c r="AI138" s="110"/>
    </row>
    <row r="139" spans="1:35" ht="15.75" x14ac:dyDescent="0.25">
      <c r="A139" s="72"/>
      <c r="E139" s="4" t="s">
        <v>3</v>
      </c>
      <c r="F139" s="4" t="s">
        <v>3</v>
      </c>
      <c r="G139" s="4" t="s">
        <v>3</v>
      </c>
      <c r="H139" s="4" t="s">
        <v>3</v>
      </c>
      <c r="I139" s="4" t="s">
        <v>3</v>
      </c>
      <c r="J139" s="4" t="s">
        <v>3</v>
      </c>
      <c r="K139" s="4" t="s">
        <v>3</v>
      </c>
      <c r="L139" s="4" t="s">
        <v>3</v>
      </c>
      <c r="M139" s="4" t="s">
        <v>3</v>
      </c>
      <c r="N139" s="4" t="s">
        <v>3</v>
      </c>
      <c r="O139" s="4" t="s">
        <v>3</v>
      </c>
      <c r="P139" s="4" t="s">
        <v>3</v>
      </c>
      <c r="Q139" s="4" t="s">
        <v>3</v>
      </c>
      <c r="R139" s="4" t="s">
        <v>3</v>
      </c>
      <c r="S139" s="4" t="s">
        <v>3</v>
      </c>
      <c r="T139" s="4" t="s">
        <v>3</v>
      </c>
      <c r="U139" s="4" t="s">
        <v>3</v>
      </c>
      <c r="V139" s="4" t="s">
        <v>3</v>
      </c>
      <c r="W139" s="4" t="s">
        <v>3</v>
      </c>
      <c r="X139" s="4" t="s">
        <v>3</v>
      </c>
      <c r="Y139" s="4" t="s">
        <v>3</v>
      </c>
      <c r="Z139" s="4" t="s">
        <v>3</v>
      </c>
      <c r="AA139" s="4" t="s">
        <v>3</v>
      </c>
      <c r="AB139" s="4" t="s">
        <v>3</v>
      </c>
      <c r="AC139" s="4" t="s">
        <v>3</v>
      </c>
      <c r="AD139" s="4" t="s">
        <v>3</v>
      </c>
      <c r="AE139" s="4" t="s">
        <v>3</v>
      </c>
      <c r="AF139" s="4" t="s">
        <v>3</v>
      </c>
      <c r="AG139" s="4" t="s">
        <v>3</v>
      </c>
      <c r="AH139" s="4" t="s">
        <v>3</v>
      </c>
      <c r="AI139" s="4" t="s">
        <v>3</v>
      </c>
    </row>
    <row r="140" spans="1:35" ht="15.75" x14ac:dyDescent="0.25">
      <c r="A140" s="71"/>
      <c r="B140" s="71"/>
      <c r="E140" s="4">
        <v>0</v>
      </c>
      <c r="F140" s="4">
        <v>1</v>
      </c>
      <c r="G140" s="4">
        <v>2</v>
      </c>
      <c r="H140" s="4">
        <v>3</v>
      </c>
      <c r="I140" s="4">
        <v>4</v>
      </c>
      <c r="J140" s="4">
        <v>5</v>
      </c>
      <c r="K140" s="4">
        <v>6</v>
      </c>
      <c r="L140" s="4">
        <v>7</v>
      </c>
      <c r="M140" s="4">
        <v>8</v>
      </c>
      <c r="N140" s="4">
        <v>9</v>
      </c>
      <c r="O140" s="4">
        <v>10</v>
      </c>
      <c r="P140" s="4">
        <v>11</v>
      </c>
      <c r="Q140" s="4">
        <v>12</v>
      </c>
      <c r="R140" s="4">
        <v>13</v>
      </c>
      <c r="S140" s="4">
        <v>14</v>
      </c>
      <c r="T140" s="4">
        <v>15</v>
      </c>
      <c r="U140" s="4">
        <v>16</v>
      </c>
      <c r="V140" s="4">
        <v>17</v>
      </c>
      <c r="W140" s="4">
        <v>18</v>
      </c>
      <c r="X140" s="4">
        <v>19</v>
      </c>
      <c r="Y140" s="4">
        <v>20</v>
      </c>
      <c r="Z140" s="4">
        <v>21</v>
      </c>
      <c r="AA140" s="4">
        <v>22</v>
      </c>
      <c r="AB140" s="4">
        <v>23</v>
      </c>
      <c r="AC140" s="4">
        <v>24</v>
      </c>
      <c r="AD140" s="4">
        <v>25</v>
      </c>
      <c r="AE140" s="4">
        <v>26</v>
      </c>
      <c r="AF140" s="4">
        <v>27</v>
      </c>
      <c r="AG140" s="4">
        <v>28</v>
      </c>
      <c r="AH140" s="4">
        <v>29</v>
      </c>
      <c r="AI140" s="4">
        <v>30</v>
      </c>
    </row>
    <row r="141" spans="1:35" ht="18" x14ac:dyDescent="0.25">
      <c r="A141" s="169" t="s">
        <v>165</v>
      </c>
      <c r="C141" s="184" t="s">
        <v>200</v>
      </c>
      <c r="T141" s="2"/>
      <c r="U141" s="26"/>
    </row>
    <row r="142" spans="1:35" x14ac:dyDescent="0.2">
      <c r="A142" s="170" t="s">
        <v>171</v>
      </c>
      <c r="B142" s="113">
        <f>'User Inputs'!D39</f>
        <v>0.06</v>
      </c>
      <c r="C142" s="182">
        <f>E142+NPV(B142,F142:AI142)</f>
        <v>39745.501193566364</v>
      </c>
      <c r="E142" s="40">
        <f t="shared" ref="E142:AI142" si="68">IF($B$14="Outside Economy",E$79,0)</f>
        <v>-621600</v>
      </c>
      <c r="F142" s="40">
        <f t="shared" si="68"/>
        <v>96550.943195314088</v>
      </c>
      <c r="G142" s="40">
        <f t="shared" si="68"/>
        <v>140214.04934179119</v>
      </c>
      <c r="H142" s="40">
        <f t="shared" si="68"/>
        <v>88654.293483251473</v>
      </c>
      <c r="I142" s="40">
        <f t="shared" si="68"/>
        <v>56661.388461057853</v>
      </c>
      <c r="J142" s="40">
        <f t="shared" si="68"/>
        <v>54052.681292708294</v>
      </c>
      <c r="K142" s="40">
        <f t="shared" si="68"/>
        <v>29258.0500631256</v>
      </c>
      <c r="L142" s="40">
        <f t="shared" si="68"/>
        <v>4371.7279123638873</v>
      </c>
      <c r="M142" s="40">
        <f t="shared" si="68"/>
        <v>1487.6460655851697</v>
      </c>
      <c r="N142" s="40">
        <f t="shared" si="68"/>
        <v>-1499.3681520881801</v>
      </c>
      <c r="O142" s="40">
        <f t="shared" si="68"/>
        <v>469528.56562331866</v>
      </c>
      <c r="P142" s="40">
        <f t="shared" si="68"/>
        <v>0</v>
      </c>
      <c r="Q142" s="40">
        <f t="shared" si="68"/>
        <v>0</v>
      </c>
      <c r="R142" s="40">
        <f t="shared" si="68"/>
        <v>0</v>
      </c>
      <c r="S142" s="40">
        <f t="shared" si="68"/>
        <v>0</v>
      </c>
      <c r="T142" s="40">
        <f t="shared" si="68"/>
        <v>0</v>
      </c>
      <c r="U142" s="40">
        <f t="shared" si="68"/>
        <v>0</v>
      </c>
      <c r="V142" s="40">
        <f t="shared" si="68"/>
        <v>0</v>
      </c>
      <c r="W142" s="40">
        <f t="shared" si="68"/>
        <v>0</v>
      </c>
      <c r="X142" s="40">
        <f t="shared" si="68"/>
        <v>0</v>
      </c>
      <c r="Y142" s="40">
        <f t="shared" si="68"/>
        <v>0</v>
      </c>
      <c r="Z142" s="40">
        <f t="shared" si="68"/>
        <v>0</v>
      </c>
      <c r="AA142" s="40">
        <f t="shared" si="68"/>
        <v>0</v>
      </c>
      <c r="AB142" s="40">
        <f t="shared" si="68"/>
        <v>0</v>
      </c>
      <c r="AC142" s="40">
        <f t="shared" si="68"/>
        <v>0</v>
      </c>
      <c r="AD142" s="40">
        <f t="shared" si="68"/>
        <v>0</v>
      </c>
      <c r="AE142" s="40">
        <f t="shared" si="68"/>
        <v>0</v>
      </c>
      <c r="AF142" s="40">
        <f t="shared" si="68"/>
        <v>0</v>
      </c>
      <c r="AG142" s="40">
        <f t="shared" si="68"/>
        <v>0</v>
      </c>
      <c r="AH142" s="40">
        <f t="shared" si="68"/>
        <v>0</v>
      </c>
      <c r="AI142" s="40">
        <f t="shared" si="68"/>
        <v>0</v>
      </c>
    </row>
    <row r="143" spans="1:35" x14ac:dyDescent="0.2">
      <c r="A143" s="170" t="s">
        <v>168</v>
      </c>
      <c r="B143" s="113">
        <f>'User Inputs'!D40</f>
        <v>0.06</v>
      </c>
      <c r="C143" s="182">
        <f>E143+NPV(B143,F143:AI143)</f>
        <v>102728.03562491602</v>
      </c>
      <c r="E143" s="40">
        <f t="shared" ref="E143:AI143" si="69">-(E$53+E$97)*(1-$B$37)</f>
        <v>0</v>
      </c>
      <c r="F143" s="40">
        <f t="shared" si="69"/>
        <v>6990.4800000000005</v>
      </c>
      <c r="G143" s="40">
        <f t="shared" si="69"/>
        <v>7094.6381520000014</v>
      </c>
      <c r="H143" s="40">
        <f t="shared" si="69"/>
        <v>7200.3482604648016</v>
      </c>
      <c r="I143" s="40">
        <f t="shared" si="69"/>
        <v>7307.6334495457268</v>
      </c>
      <c r="J143" s="40">
        <f t="shared" si="69"/>
        <v>7416.5171879439586</v>
      </c>
      <c r="K143" s="40">
        <f t="shared" si="69"/>
        <v>7527.0232940443238</v>
      </c>
      <c r="L143" s="40">
        <f t="shared" si="69"/>
        <v>7639.1759411255844</v>
      </c>
      <c r="M143" s="40">
        <f t="shared" si="69"/>
        <v>7752.9996626483526</v>
      </c>
      <c r="N143" s="40">
        <f t="shared" si="69"/>
        <v>7868.5193576218153</v>
      </c>
      <c r="O143" s="40">
        <f t="shared" si="69"/>
        <v>7985.7602960503791</v>
      </c>
      <c r="P143" s="40">
        <f t="shared" si="69"/>
        <v>8104.7481244615301</v>
      </c>
      <c r="Q143" s="40">
        <f t="shared" si="69"/>
        <v>8225.5088715160073</v>
      </c>
      <c r="R143" s="40">
        <f t="shared" si="69"/>
        <v>8348.0689537015969</v>
      </c>
      <c r="S143" s="40">
        <f t="shared" si="69"/>
        <v>8472.4551811117472</v>
      </c>
      <c r="T143" s="40">
        <f t="shared" si="69"/>
        <v>8598.6947633103173</v>
      </c>
      <c r="U143" s="40">
        <f t="shared" si="69"/>
        <v>8726.8153152836367</v>
      </c>
      <c r="V143" s="40">
        <f t="shared" si="69"/>
        <v>8856.8448634813649</v>
      </c>
      <c r="W143" s="40">
        <f t="shared" si="69"/>
        <v>8988.8118519472373</v>
      </c>
      <c r="X143" s="40">
        <f t="shared" si="69"/>
        <v>9122.7451485412494</v>
      </c>
      <c r="Y143" s="40">
        <f t="shared" si="69"/>
        <v>9258.674051254513</v>
      </c>
      <c r="Z143" s="40">
        <f t="shared" si="69"/>
        <v>9396.6282946182055</v>
      </c>
      <c r="AA143" s="40">
        <f t="shared" si="69"/>
        <v>9536.6380562080158</v>
      </c>
      <c r="AB143" s="40">
        <f t="shared" si="69"/>
        <v>9678.7339632455169</v>
      </c>
      <c r="AC143" s="40">
        <f t="shared" si="69"/>
        <v>9822.9470992978731</v>
      </c>
      <c r="AD143" s="40">
        <f t="shared" si="69"/>
        <v>9969.3090110774101</v>
      </c>
      <c r="AE143" s="40">
        <f t="shared" si="69"/>
        <v>0</v>
      </c>
      <c r="AF143" s="40">
        <f t="shared" si="69"/>
        <v>0</v>
      </c>
      <c r="AG143" s="40">
        <f t="shared" si="69"/>
        <v>0</v>
      </c>
      <c r="AH143" s="40">
        <f t="shared" si="69"/>
        <v>0</v>
      </c>
      <c r="AI143" s="40">
        <f t="shared" si="69"/>
        <v>0</v>
      </c>
    </row>
    <row r="144" spans="1:35" x14ac:dyDescent="0.2">
      <c r="A144" s="170" t="s">
        <v>167</v>
      </c>
      <c r="B144" s="113">
        <f>'User Inputs'!D41</f>
        <v>0.06</v>
      </c>
      <c r="C144" s="182">
        <f>E144+NPV(B144,F144:AI144)</f>
        <v>265048.26184258598</v>
      </c>
      <c r="E144" s="40">
        <f t="shared" ref="E144:AI144" si="70">-E$88*ABS($G$32-1)-E$134*ABS($I$32-1)</f>
        <v>0</v>
      </c>
      <c r="F144" s="40">
        <f t="shared" si="70"/>
        <v>55944</v>
      </c>
      <c r="G144" s="40">
        <f t="shared" si="70"/>
        <v>51699.642945318847</v>
      </c>
      <c r="H144" s="40">
        <f t="shared" si="70"/>
        <v>47200.624467356822</v>
      </c>
      <c r="I144" s="40">
        <f t="shared" si="70"/>
        <v>42431.664880717079</v>
      </c>
      <c r="J144" s="40">
        <f t="shared" si="70"/>
        <v>37376.567718878949</v>
      </c>
      <c r="K144" s="40">
        <f t="shared" si="70"/>
        <v>32018.164727330532</v>
      </c>
      <c r="L144" s="40">
        <f t="shared" si="70"/>
        <v>26338.257556289209</v>
      </c>
      <c r="M144" s="40">
        <f t="shared" si="70"/>
        <v>20317.555954985408</v>
      </c>
      <c r="N144" s="40">
        <f t="shared" si="70"/>
        <v>13935.612257603379</v>
      </c>
      <c r="O144" s="40">
        <f t="shared" si="70"/>
        <v>7170.7519383784283</v>
      </c>
      <c r="P144" s="40">
        <f t="shared" si="70"/>
        <v>0</v>
      </c>
      <c r="Q144" s="40">
        <f t="shared" si="70"/>
        <v>0</v>
      </c>
      <c r="R144" s="40">
        <f t="shared" si="70"/>
        <v>0</v>
      </c>
      <c r="S144" s="40">
        <f t="shared" si="70"/>
        <v>0</v>
      </c>
      <c r="T144" s="40">
        <f t="shared" si="70"/>
        <v>0</v>
      </c>
      <c r="U144" s="40">
        <f t="shared" si="70"/>
        <v>0</v>
      </c>
      <c r="V144" s="40">
        <f t="shared" si="70"/>
        <v>0</v>
      </c>
      <c r="W144" s="40">
        <f t="shared" si="70"/>
        <v>0</v>
      </c>
      <c r="X144" s="40">
        <f t="shared" si="70"/>
        <v>0</v>
      </c>
      <c r="Y144" s="40">
        <f t="shared" si="70"/>
        <v>0</v>
      </c>
      <c r="Z144" s="40">
        <f t="shared" si="70"/>
        <v>0</v>
      </c>
      <c r="AA144" s="40">
        <f t="shared" si="70"/>
        <v>0</v>
      </c>
      <c r="AB144" s="40">
        <f t="shared" si="70"/>
        <v>0</v>
      </c>
      <c r="AC144" s="40">
        <f t="shared" si="70"/>
        <v>0</v>
      </c>
      <c r="AD144" s="40">
        <f t="shared" si="70"/>
        <v>0</v>
      </c>
      <c r="AE144" s="40">
        <f t="shared" si="70"/>
        <v>0</v>
      </c>
      <c r="AF144" s="40">
        <f t="shared" si="70"/>
        <v>0</v>
      </c>
      <c r="AG144" s="40">
        <f t="shared" si="70"/>
        <v>0</v>
      </c>
      <c r="AH144" s="40">
        <f t="shared" si="70"/>
        <v>0</v>
      </c>
      <c r="AI144" s="40">
        <f t="shared" si="70"/>
        <v>0</v>
      </c>
    </row>
    <row r="145" spans="1:35" ht="18" x14ac:dyDescent="0.25">
      <c r="A145" s="171" t="s">
        <v>154</v>
      </c>
      <c r="B145" s="9"/>
      <c r="C145" s="183"/>
      <c r="T145" s="2"/>
      <c r="U145" s="26"/>
    </row>
    <row r="146" spans="1:35" x14ac:dyDescent="0.2">
      <c r="A146" s="170" t="s">
        <v>169</v>
      </c>
      <c r="B146" s="113">
        <f>'User Inputs'!D43</f>
        <v>0.06</v>
      </c>
      <c r="C146" s="182">
        <f>E146+NPV(B146,F146:AI146)</f>
        <v>0</v>
      </c>
      <c r="E146" s="40">
        <f t="shared" ref="E146:AI146" si="71">IF($B$14="Local Economy",E$79,0)</f>
        <v>0</v>
      </c>
      <c r="F146" s="40">
        <f t="shared" si="71"/>
        <v>0</v>
      </c>
      <c r="G146" s="40">
        <f t="shared" si="71"/>
        <v>0</v>
      </c>
      <c r="H146" s="40">
        <f t="shared" si="71"/>
        <v>0</v>
      </c>
      <c r="I146" s="40">
        <f t="shared" si="71"/>
        <v>0</v>
      </c>
      <c r="J146" s="40">
        <f t="shared" si="71"/>
        <v>0</v>
      </c>
      <c r="K146" s="40">
        <f t="shared" si="71"/>
        <v>0</v>
      </c>
      <c r="L146" s="40">
        <f t="shared" si="71"/>
        <v>0</v>
      </c>
      <c r="M146" s="40">
        <f t="shared" si="71"/>
        <v>0</v>
      </c>
      <c r="N146" s="40">
        <f t="shared" si="71"/>
        <v>0</v>
      </c>
      <c r="O146" s="40">
        <f t="shared" si="71"/>
        <v>0</v>
      </c>
      <c r="P146" s="40">
        <f t="shared" si="71"/>
        <v>0</v>
      </c>
      <c r="Q146" s="40">
        <f t="shared" si="71"/>
        <v>0</v>
      </c>
      <c r="R146" s="40">
        <f t="shared" si="71"/>
        <v>0</v>
      </c>
      <c r="S146" s="40">
        <f t="shared" si="71"/>
        <v>0</v>
      </c>
      <c r="T146" s="40">
        <f t="shared" si="71"/>
        <v>0</v>
      </c>
      <c r="U146" s="40">
        <f t="shared" si="71"/>
        <v>0</v>
      </c>
      <c r="V146" s="40">
        <f t="shared" si="71"/>
        <v>0</v>
      </c>
      <c r="W146" s="40">
        <f t="shared" si="71"/>
        <v>0</v>
      </c>
      <c r="X146" s="40">
        <f t="shared" si="71"/>
        <v>0</v>
      </c>
      <c r="Y146" s="40">
        <f t="shared" si="71"/>
        <v>0</v>
      </c>
      <c r="Z146" s="40">
        <f t="shared" si="71"/>
        <v>0</v>
      </c>
      <c r="AA146" s="40">
        <f t="shared" si="71"/>
        <v>0</v>
      </c>
      <c r="AB146" s="40">
        <f t="shared" si="71"/>
        <v>0</v>
      </c>
      <c r="AC146" s="40">
        <f t="shared" si="71"/>
        <v>0</v>
      </c>
      <c r="AD146" s="40">
        <f t="shared" si="71"/>
        <v>0</v>
      </c>
      <c r="AE146" s="40">
        <f t="shared" si="71"/>
        <v>0</v>
      </c>
      <c r="AF146" s="40">
        <f t="shared" si="71"/>
        <v>0</v>
      </c>
      <c r="AG146" s="40">
        <f t="shared" si="71"/>
        <v>0</v>
      </c>
      <c r="AH146" s="40">
        <f t="shared" si="71"/>
        <v>0</v>
      </c>
      <c r="AI146" s="40">
        <f t="shared" si="71"/>
        <v>0</v>
      </c>
    </row>
    <row r="147" spans="1:35" x14ac:dyDescent="0.2">
      <c r="A147" s="170" t="s">
        <v>153</v>
      </c>
      <c r="B147" s="113">
        <f>'User Inputs'!D44</f>
        <v>0.06</v>
      </c>
      <c r="C147" s="182">
        <f>E147+NPV(B147,F147:AI147)</f>
        <v>364418.73083531234</v>
      </c>
      <c r="E147" s="40">
        <f t="shared" ref="E147:AI147" si="72">E125</f>
        <v>0</v>
      </c>
      <c r="F147" s="40">
        <f t="shared" si="72"/>
        <v>0</v>
      </c>
      <c r="G147" s="40">
        <f t="shared" si="72"/>
        <v>0</v>
      </c>
      <c r="H147" s="40">
        <f t="shared" si="72"/>
        <v>0</v>
      </c>
      <c r="I147" s="40">
        <f t="shared" si="72"/>
        <v>0</v>
      </c>
      <c r="J147" s="40">
        <f t="shared" si="72"/>
        <v>0</v>
      </c>
      <c r="K147" s="40">
        <f t="shared" si="72"/>
        <v>0</v>
      </c>
      <c r="L147" s="40">
        <f t="shared" si="72"/>
        <v>0</v>
      </c>
      <c r="M147" s="40">
        <f t="shared" si="72"/>
        <v>0</v>
      </c>
      <c r="N147" s="40">
        <f t="shared" si="72"/>
        <v>0</v>
      </c>
      <c r="O147" s="40">
        <f t="shared" si="72"/>
        <v>-210000</v>
      </c>
      <c r="P147" s="40">
        <f t="shared" si="72"/>
        <v>81241.325998346409</v>
      </c>
      <c r="Q147" s="40">
        <f t="shared" si="72"/>
        <v>79592.188501120516</v>
      </c>
      <c r="R147" s="40">
        <f t="shared" si="72"/>
        <v>77914.48917269081</v>
      </c>
      <c r="S147" s="40">
        <f t="shared" si="72"/>
        <v>76206.603521321478</v>
      </c>
      <c r="T147" s="40">
        <f t="shared" si="72"/>
        <v>74466.818179451642</v>
      </c>
      <c r="U147" s="40">
        <f t="shared" si="72"/>
        <v>72693.325724535796</v>
      </c>
      <c r="V147" s="40">
        <f t="shared" si="72"/>
        <v>70884.219192835255</v>
      </c>
      <c r="W147" s="40">
        <f t="shared" si="72"/>
        <v>69037.486267823871</v>
      </c>
      <c r="X147" s="40">
        <f t="shared" si="72"/>
        <v>67151.003123774164</v>
      </c>
      <c r="Y147" s="40">
        <f t="shared" si="72"/>
        <v>14346.527903924529</v>
      </c>
      <c r="Z147" s="40">
        <f t="shared" si="72"/>
        <v>142733.75303263211</v>
      </c>
      <c r="AA147" s="40">
        <f t="shared" si="72"/>
        <v>144629.84528261572</v>
      </c>
      <c r="AB147" s="40">
        <f t="shared" si="72"/>
        <v>146553.08760779581</v>
      </c>
      <c r="AC147" s="40">
        <f t="shared" si="72"/>
        <v>148503.79983859742</v>
      </c>
      <c r="AD147" s="40">
        <f t="shared" si="72"/>
        <v>150482.30473909265</v>
      </c>
      <c r="AE147" s="40">
        <f t="shared" si="72"/>
        <v>0</v>
      </c>
      <c r="AF147" s="40">
        <f t="shared" si="72"/>
        <v>0</v>
      </c>
      <c r="AG147" s="40">
        <f t="shared" si="72"/>
        <v>0</v>
      </c>
      <c r="AH147" s="40">
        <f t="shared" si="72"/>
        <v>0</v>
      </c>
      <c r="AI147" s="40">
        <f t="shared" si="72"/>
        <v>0</v>
      </c>
    </row>
    <row r="148" spans="1:35" x14ac:dyDescent="0.2">
      <c r="A148" s="170" t="s">
        <v>159</v>
      </c>
      <c r="B148" s="113">
        <f>'User Inputs'!D45</f>
        <v>0.06</v>
      </c>
      <c r="C148" s="182">
        <f>E148+NPV(B148,F148:AI148)</f>
        <v>154092.05343737407</v>
      </c>
      <c r="E148" s="40">
        <f t="shared" ref="E148:AI148" si="73">-(E$53+E$97)*$B$37</f>
        <v>0</v>
      </c>
      <c r="F148" s="40">
        <f t="shared" si="73"/>
        <v>10485.719999999999</v>
      </c>
      <c r="G148" s="40">
        <f t="shared" si="73"/>
        <v>10641.957228000001</v>
      </c>
      <c r="H148" s="40">
        <f t="shared" si="73"/>
        <v>10800.522390697202</v>
      </c>
      <c r="I148" s="40">
        <f t="shared" si="73"/>
        <v>10961.45017431859</v>
      </c>
      <c r="J148" s="40">
        <f t="shared" si="73"/>
        <v>11124.775781915938</v>
      </c>
      <c r="K148" s="40">
        <f t="shared" si="73"/>
        <v>11290.534941066486</v>
      </c>
      <c r="L148" s="40">
        <f t="shared" si="73"/>
        <v>11458.763911688377</v>
      </c>
      <c r="M148" s="40">
        <f t="shared" si="73"/>
        <v>11629.499493972527</v>
      </c>
      <c r="N148" s="40">
        <f t="shared" si="73"/>
        <v>11802.779036432723</v>
      </c>
      <c r="O148" s="40">
        <f t="shared" si="73"/>
        <v>11978.640444075569</v>
      </c>
      <c r="P148" s="40">
        <f t="shared" si="73"/>
        <v>12157.122186692293</v>
      </c>
      <c r="Q148" s="40">
        <f t="shared" si="73"/>
        <v>12338.263307274008</v>
      </c>
      <c r="R148" s="40">
        <f t="shared" si="73"/>
        <v>12522.103430552394</v>
      </c>
      <c r="S148" s="40">
        <f t="shared" si="73"/>
        <v>12708.682771667622</v>
      </c>
      <c r="T148" s="40">
        <f t="shared" si="73"/>
        <v>12898.042144965473</v>
      </c>
      <c r="U148" s="40">
        <f t="shared" si="73"/>
        <v>13090.222972925452</v>
      </c>
      <c r="V148" s="40">
        <f t="shared" si="73"/>
        <v>13285.267295222046</v>
      </c>
      <c r="W148" s="40">
        <f t="shared" si="73"/>
        <v>13483.217777920854</v>
      </c>
      <c r="X148" s="40">
        <f t="shared" si="73"/>
        <v>13684.117722811872</v>
      </c>
      <c r="Y148" s="40">
        <f t="shared" si="73"/>
        <v>13888.011076881767</v>
      </c>
      <c r="Z148" s="40">
        <f t="shared" si="73"/>
        <v>14094.942441927307</v>
      </c>
      <c r="AA148" s="40">
        <f t="shared" si="73"/>
        <v>14304.957084312024</v>
      </c>
      <c r="AB148" s="40">
        <f t="shared" si="73"/>
        <v>14518.100944868276</v>
      </c>
      <c r="AC148" s="40">
        <f t="shared" si="73"/>
        <v>14734.420648946807</v>
      </c>
      <c r="AD148" s="40">
        <f t="shared" si="73"/>
        <v>14953.963516616113</v>
      </c>
      <c r="AE148" s="40">
        <f t="shared" si="73"/>
        <v>0</v>
      </c>
      <c r="AF148" s="40">
        <f t="shared" si="73"/>
        <v>0</v>
      </c>
      <c r="AG148" s="40">
        <f t="shared" si="73"/>
        <v>0</v>
      </c>
      <c r="AH148" s="40">
        <f t="shared" si="73"/>
        <v>0</v>
      </c>
      <c r="AI148" s="40">
        <f t="shared" si="73"/>
        <v>0</v>
      </c>
    </row>
    <row r="149" spans="1:35" x14ac:dyDescent="0.2">
      <c r="A149" s="170" t="s">
        <v>161</v>
      </c>
      <c r="B149" s="113">
        <f>'User Inputs'!D46</f>
        <v>0.06</v>
      </c>
      <c r="C149" s="182">
        <f>E149+NPV(B149,F149:AI149)</f>
        <v>50000.528730854923</v>
      </c>
      <c r="E149" s="40">
        <f t="shared" ref="E149:AI149" si="74">-E$88*$G$32-E$134*$I$32</f>
        <v>0</v>
      </c>
      <c r="F149" s="40">
        <f t="shared" si="74"/>
        <v>0</v>
      </c>
      <c r="G149" s="40">
        <f t="shared" si="74"/>
        <v>0</v>
      </c>
      <c r="H149" s="40">
        <f t="shared" si="74"/>
        <v>0</v>
      </c>
      <c r="I149" s="40">
        <f t="shared" si="74"/>
        <v>0</v>
      </c>
      <c r="J149" s="40">
        <f t="shared" si="74"/>
        <v>0</v>
      </c>
      <c r="K149" s="40">
        <f t="shared" si="74"/>
        <v>0</v>
      </c>
      <c r="L149" s="40">
        <f t="shared" si="74"/>
        <v>0</v>
      </c>
      <c r="M149" s="40">
        <f t="shared" si="74"/>
        <v>0</v>
      </c>
      <c r="N149" s="40">
        <f t="shared" si="74"/>
        <v>0</v>
      </c>
      <c r="O149" s="40">
        <f t="shared" si="74"/>
        <v>0</v>
      </c>
      <c r="P149" s="40">
        <f t="shared" si="74"/>
        <v>18900</v>
      </c>
      <c r="Q149" s="40">
        <f t="shared" si="74"/>
        <v>17466.095589634744</v>
      </c>
      <c r="R149" s="40">
        <f t="shared" si="74"/>
        <v>15946.156914647574</v>
      </c>
      <c r="S149" s="40">
        <f t="shared" si="74"/>
        <v>14335.021919161174</v>
      </c>
      <c r="T149" s="40">
        <f t="shared" si="74"/>
        <v>12627.21882394559</v>
      </c>
      <c r="U149" s="40">
        <f t="shared" si="74"/>
        <v>10816.947543017071</v>
      </c>
      <c r="V149" s="40">
        <f t="shared" si="74"/>
        <v>8898.0599852328414</v>
      </c>
      <c r="W149" s="40">
        <f t="shared" si="74"/>
        <v>6864.0391739815568</v>
      </c>
      <c r="X149" s="40">
        <f t="shared" si="74"/>
        <v>4707.9771140551957</v>
      </c>
      <c r="Y149" s="40">
        <f t="shared" si="74"/>
        <v>2422.5513305332533</v>
      </c>
      <c r="Z149" s="40">
        <f t="shared" si="74"/>
        <v>0</v>
      </c>
      <c r="AA149" s="40">
        <f t="shared" si="74"/>
        <v>0</v>
      </c>
      <c r="AB149" s="40">
        <f t="shared" si="74"/>
        <v>0</v>
      </c>
      <c r="AC149" s="40">
        <f t="shared" si="74"/>
        <v>0</v>
      </c>
      <c r="AD149" s="40">
        <f t="shared" si="74"/>
        <v>0</v>
      </c>
      <c r="AE149" s="40">
        <f t="shared" si="74"/>
        <v>0</v>
      </c>
      <c r="AF149" s="40">
        <f t="shared" si="74"/>
        <v>0</v>
      </c>
      <c r="AG149" s="40">
        <f t="shared" si="74"/>
        <v>0</v>
      </c>
      <c r="AH149" s="40">
        <f t="shared" si="74"/>
        <v>0</v>
      </c>
      <c r="AI149" s="40">
        <f t="shared" si="74"/>
        <v>0</v>
      </c>
    </row>
    <row r="150" spans="1:35" x14ac:dyDescent="0.2">
      <c r="A150" s="170" t="s">
        <v>160</v>
      </c>
      <c r="B150" s="113">
        <f>'User Inputs'!D47</f>
        <v>0.06</v>
      </c>
      <c r="C150" s="182">
        <f>E150+NPV(B150,F150:AI150)</f>
        <v>319583.90395671001</v>
      </c>
      <c r="E150" s="40">
        <f t="shared" ref="E150:AI150" si="75">-E$54-E$98</f>
        <v>0</v>
      </c>
      <c r="F150" s="40">
        <f t="shared" si="75"/>
        <v>25000</v>
      </c>
      <c r="G150" s="40">
        <f t="shared" si="75"/>
        <v>25000</v>
      </c>
      <c r="H150" s="40">
        <f t="shared" si="75"/>
        <v>25000</v>
      </c>
      <c r="I150" s="40">
        <f t="shared" si="75"/>
        <v>25000</v>
      </c>
      <c r="J150" s="40">
        <f t="shared" si="75"/>
        <v>25000</v>
      </c>
      <c r="K150" s="40">
        <f t="shared" si="75"/>
        <v>25000</v>
      </c>
      <c r="L150" s="40">
        <f t="shared" si="75"/>
        <v>25000</v>
      </c>
      <c r="M150" s="40">
        <f t="shared" si="75"/>
        <v>25000</v>
      </c>
      <c r="N150" s="40">
        <f t="shared" si="75"/>
        <v>25000</v>
      </c>
      <c r="O150" s="40">
        <f t="shared" si="75"/>
        <v>25000</v>
      </c>
      <c r="P150" s="40">
        <f t="shared" si="75"/>
        <v>25000</v>
      </c>
      <c r="Q150" s="40">
        <f t="shared" si="75"/>
        <v>25000</v>
      </c>
      <c r="R150" s="40">
        <f t="shared" si="75"/>
        <v>25000</v>
      </c>
      <c r="S150" s="40">
        <f t="shared" si="75"/>
        <v>25000</v>
      </c>
      <c r="T150" s="40">
        <f t="shared" si="75"/>
        <v>25000</v>
      </c>
      <c r="U150" s="40">
        <f t="shared" si="75"/>
        <v>25000</v>
      </c>
      <c r="V150" s="40">
        <f t="shared" si="75"/>
        <v>25000</v>
      </c>
      <c r="W150" s="40">
        <f t="shared" si="75"/>
        <v>25000</v>
      </c>
      <c r="X150" s="40">
        <f t="shared" si="75"/>
        <v>25000</v>
      </c>
      <c r="Y150" s="40">
        <f t="shared" si="75"/>
        <v>25000</v>
      </c>
      <c r="Z150" s="40">
        <f t="shared" si="75"/>
        <v>25000</v>
      </c>
      <c r="AA150" s="40">
        <f t="shared" si="75"/>
        <v>25000</v>
      </c>
      <c r="AB150" s="40">
        <f t="shared" si="75"/>
        <v>25000</v>
      </c>
      <c r="AC150" s="40">
        <f t="shared" si="75"/>
        <v>25000</v>
      </c>
      <c r="AD150" s="40">
        <f t="shared" si="75"/>
        <v>25000</v>
      </c>
      <c r="AE150" s="40">
        <f t="shared" si="75"/>
        <v>0</v>
      </c>
      <c r="AF150" s="40">
        <f t="shared" si="75"/>
        <v>0</v>
      </c>
      <c r="AG150" s="40">
        <f t="shared" si="75"/>
        <v>0</v>
      </c>
      <c r="AH150" s="40">
        <f t="shared" si="75"/>
        <v>0</v>
      </c>
      <c r="AI150" s="40">
        <f t="shared" si="75"/>
        <v>0</v>
      </c>
    </row>
    <row r="151" spans="1:35" x14ac:dyDescent="0.2">
      <c r="C151" s="183"/>
      <c r="T151" s="2"/>
      <c r="U151" s="26"/>
    </row>
    <row r="152" spans="1:35" ht="15.75" x14ac:dyDescent="0.25">
      <c r="A152" s="112" t="s">
        <v>83</v>
      </c>
      <c r="B152" s="188" t="s">
        <v>235</v>
      </c>
      <c r="C152" s="182">
        <f>C153+C154</f>
        <v>1295617.0156213196</v>
      </c>
      <c r="E152" s="40">
        <f t="shared" ref="E152:AI152" si="76">SUM(E142:E150)</f>
        <v>-621600</v>
      </c>
      <c r="F152" s="40">
        <f t="shared" si="76"/>
        <v>194971.14319531407</v>
      </c>
      <c r="G152" s="40">
        <f t="shared" si="76"/>
        <v>234650.28766711007</v>
      </c>
      <c r="H152" s="40">
        <f t="shared" si="76"/>
        <v>178855.7886017703</v>
      </c>
      <c r="I152" s="40">
        <f t="shared" si="76"/>
        <v>142362.13696563925</v>
      </c>
      <c r="J152" s="40">
        <f t="shared" si="76"/>
        <v>134970.54198144714</v>
      </c>
      <c r="K152" s="40">
        <f t="shared" si="76"/>
        <v>105093.77302556694</v>
      </c>
      <c r="L152" s="40">
        <f t="shared" si="76"/>
        <v>74807.925321467061</v>
      </c>
      <c r="M152" s="40">
        <f t="shared" si="76"/>
        <v>66187.701177191455</v>
      </c>
      <c r="N152" s="40">
        <f t="shared" si="76"/>
        <v>57107.542499569739</v>
      </c>
      <c r="O152" s="40">
        <f t="shared" si="76"/>
        <v>311663.71830182307</v>
      </c>
      <c r="P152" s="40">
        <f t="shared" si="76"/>
        <v>145403.19630950023</v>
      </c>
      <c r="Q152" s="40">
        <f t="shared" si="76"/>
        <v>142622.05626954528</v>
      </c>
      <c r="R152" s="40">
        <f t="shared" si="76"/>
        <v>139730.81847159239</v>
      </c>
      <c r="S152" s="40">
        <f t="shared" si="76"/>
        <v>136722.76339326199</v>
      </c>
      <c r="T152" s="40">
        <f t="shared" si="76"/>
        <v>133590.77391167299</v>
      </c>
      <c r="U152" s="40">
        <f t="shared" si="76"/>
        <v>130327.31155576195</v>
      </c>
      <c r="V152" s="40">
        <f t="shared" si="76"/>
        <v>126924.39133677151</v>
      </c>
      <c r="W152" s="40">
        <f t="shared" si="76"/>
        <v>123373.55507167352</v>
      </c>
      <c r="X152" s="40">
        <f t="shared" si="76"/>
        <v>119665.84310918248</v>
      </c>
      <c r="Y152" s="40">
        <f t="shared" si="76"/>
        <v>64915.764362594069</v>
      </c>
      <c r="Z152" s="40">
        <f t="shared" si="76"/>
        <v>191225.32376917763</v>
      </c>
      <c r="AA152" s="40">
        <f t="shared" si="76"/>
        <v>193471.44042313573</v>
      </c>
      <c r="AB152" s="40">
        <f t="shared" si="76"/>
        <v>195749.92251590962</v>
      </c>
      <c r="AC152" s="40">
        <f t="shared" si="76"/>
        <v>198061.16758684209</v>
      </c>
      <c r="AD152" s="40">
        <f t="shared" si="76"/>
        <v>200405.57726678619</v>
      </c>
      <c r="AE152" s="40">
        <f t="shared" si="76"/>
        <v>0</v>
      </c>
      <c r="AF152" s="40">
        <f t="shared" si="76"/>
        <v>0</v>
      </c>
      <c r="AG152" s="40">
        <f t="shared" si="76"/>
        <v>0</v>
      </c>
      <c r="AH152" s="40">
        <f t="shared" si="76"/>
        <v>0</v>
      </c>
      <c r="AI152" s="40">
        <f t="shared" si="76"/>
        <v>0</v>
      </c>
    </row>
    <row r="153" spans="1:35" x14ac:dyDescent="0.2">
      <c r="A153" s="37" t="s">
        <v>154</v>
      </c>
      <c r="B153" s="113">
        <f>'User Inputs'!D42</f>
        <v>0.06</v>
      </c>
      <c r="C153" s="182">
        <f t="shared" ref="C153:C154" si="77">E153+NPV(B153,F153:AI153)</f>
        <v>888095.21696025121</v>
      </c>
      <c r="E153" s="40">
        <f>SUM(E146:E150)</f>
        <v>0</v>
      </c>
      <c r="F153" s="40">
        <f t="shared" ref="F153:AI153" si="78">SUM(F146:F150)</f>
        <v>35485.72</v>
      </c>
      <c r="G153" s="40">
        <f t="shared" si="78"/>
        <v>35641.957227999999</v>
      </c>
      <c r="H153" s="40">
        <f t="shared" si="78"/>
        <v>35800.522390697202</v>
      </c>
      <c r="I153" s="40">
        <f t="shared" si="78"/>
        <v>35961.45017431859</v>
      </c>
      <c r="J153" s="40">
        <f t="shared" si="78"/>
        <v>36124.775781915938</v>
      </c>
      <c r="K153" s="40">
        <f t="shared" si="78"/>
        <v>36290.534941066486</v>
      </c>
      <c r="L153" s="40">
        <f t="shared" si="78"/>
        <v>36458.76391168838</v>
      </c>
      <c r="M153" s="40">
        <f t="shared" si="78"/>
        <v>36629.499493972529</v>
      </c>
      <c r="N153" s="40">
        <f t="shared" si="78"/>
        <v>36802.779036432723</v>
      </c>
      <c r="O153" s="40">
        <f t="shared" si="78"/>
        <v>-173021.35955592443</v>
      </c>
      <c r="P153" s="40">
        <f t="shared" si="78"/>
        <v>137298.44818503869</v>
      </c>
      <c r="Q153" s="40">
        <f t="shared" si="78"/>
        <v>134396.54739802927</v>
      </c>
      <c r="R153" s="40">
        <f t="shared" si="78"/>
        <v>131382.74951789077</v>
      </c>
      <c r="S153" s="40">
        <f t="shared" si="78"/>
        <v>128250.30821215027</v>
      </c>
      <c r="T153" s="40">
        <f t="shared" si="78"/>
        <v>124992.0791483627</v>
      </c>
      <c r="U153" s="40">
        <f t="shared" si="78"/>
        <v>121600.49624047831</v>
      </c>
      <c r="V153" s="40">
        <f t="shared" si="78"/>
        <v>118067.54647329015</v>
      </c>
      <c r="W153" s="40">
        <f t="shared" si="78"/>
        <v>114384.74321972628</v>
      </c>
      <c r="X153" s="40">
        <f t="shared" si="78"/>
        <v>110543.09796064123</v>
      </c>
      <c r="Y153" s="40">
        <f t="shared" si="78"/>
        <v>55657.090311339547</v>
      </c>
      <c r="Z153" s="40">
        <f t="shared" si="78"/>
        <v>181828.69547455941</v>
      </c>
      <c r="AA153" s="40">
        <f t="shared" si="78"/>
        <v>183934.80236692773</v>
      </c>
      <c r="AB153" s="40">
        <f t="shared" si="78"/>
        <v>186071.1885526641</v>
      </c>
      <c r="AC153" s="40">
        <f t="shared" si="78"/>
        <v>188238.22048754423</v>
      </c>
      <c r="AD153" s="40">
        <f t="shared" si="78"/>
        <v>190436.26825570877</v>
      </c>
      <c r="AE153" s="40">
        <f t="shared" si="78"/>
        <v>0</v>
      </c>
      <c r="AF153" s="40">
        <f t="shared" si="78"/>
        <v>0</v>
      </c>
      <c r="AG153" s="40">
        <f t="shared" si="78"/>
        <v>0</v>
      </c>
      <c r="AH153" s="40">
        <f t="shared" si="78"/>
        <v>0</v>
      </c>
      <c r="AI153" s="40">
        <f t="shared" si="78"/>
        <v>0</v>
      </c>
    </row>
    <row r="154" spans="1:35" x14ac:dyDescent="0.2">
      <c r="A154" s="37" t="s">
        <v>165</v>
      </c>
      <c r="B154" s="113">
        <f>'User Inputs'!D38</f>
        <v>0.06</v>
      </c>
      <c r="C154" s="182">
        <f t="shared" si="77"/>
        <v>407521.79866106843</v>
      </c>
      <c r="E154" s="40">
        <f t="shared" ref="E154:AI154" si="79">SUM(E142:E144)</f>
        <v>-621600</v>
      </c>
      <c r="F154" s="40">
        <f t="shared" si="79"/>
        <v>159485.42319531407</v>
      </c>
      <c r="G154" s="40">
        <f t="shared" si="79"/>
        <v>199008.33043911005</v>
      </c>
      <c r="H154" s="40">
        <f t="shared" si="79"/>
        <v>143055.26621107309</v>
      </c>
      <c r="I154" s="40">
        <f t="shared" si="79"/>
        <v>106400.68679132065</v>
      </c>
      <c r="J154" s="40">
        <f t="shared" si="79"/>
        <v>98845.766199531208</v>
      </c>
      <c r="K154" s="40">
        <f t="shared" si="79"/>
        <v>68803.238084500452</v>
      </c>
      <c r="L154" s="40">
        <f t="shared" si="79"/>
        <v>38349.161409778681</v>
      </c>
      <c r="M154" s="40">
        <f t="shared" si="79"/>
        <v>29558.201683218929</v>
      </c>
      <c r="N154" s="40">
        <f t="shared" si="79"/>
        <v>20304.763463137017</v>
      </c>
      <c r="O154" s="40">
        <f t="shared" si="79"/>
        <v>484685.0778577475</v>
      </c>
      <c r="P154" s="40">
        <f t="shared" si="79"/>
        <v>8104.7481244615301</v>
      </c>
      <c r="Q154" s="40">
        <f t="shared" si="79"/>
        <v>8225.5088715160073</v>
      </c>
      <c r="R154" s="40">
        <f t="shared" si="79"/>
        <v>8348.0689537015969</v>
      </c>
      <c r="S154" s="40">
        <f t="shared" si="79"/>
        <v>8472.4551811117472</v>
      </c>
      <c r="T154" s="40">
        <f t="shared" si="79"/>
        <v>8598.6947633103173</v>
      </c>
      <c r="U154" s="40">
        <f t="shared" si="79"/>
        <v>8726.8153152836367</v>
      </c>
      <c r="V154" s="40">
        <f t="shared" si="79"/>
        <v>8856.8448634813649</v>
      </c>
      <c r="W154" s="40">
        <f t="shared" si="79"/>
        <v>8988.8118519472373</v>
      </c>
      <c r="X154" s="40">
        <f t="shared" si="79"/>
        <v>9122.7451485412494</v>
      </c>
      <c r="Y154" s="40">
        <f t="shared" si="79"/>
        <v>9258.674051254513</v>
      </c>
      <c r="Z154" s="40">
        <f t="shared" si="79"/>
        <v>9396.6282946182055</v>
      </c>
      <c r="AA154" s="40">
        <f t="shared" si="79"/>
        <v>9536.6380562080158</v>
      </c>
      <c r="AB154" s="40">
        <f t="shared" si="79"/>
        <v>9678.7339632455169</v>
      </c>
      <c r="AC154" s="40">
        <f t="shared" si="79"/>
        <v>9822.9470992978731</v>
      </c>
      <c r="AD154" s="40">
        <f t="shared" si="79"/>
        <v>9969.3090110774101</v>
      </c>
      <c r="AE154" s="40">
        <f t="shared" si="79"/>
        <v>0</v>
      </c>
      <c r="AF154" s="40">
        <f t="shared" si="79"/>
        <v>0</v>
      </c>
      <c r="AG154" s="40">
        <f t="shared" si="79"/>
        <v>0</v>
      </c>
      <c r="AH154" s="40">
        <f t="shared" si="79"/>
        <v>0</v>
      </c>
      <c r="AI154" s="40">
        <f t="shared" si="79"/>
        <v>0</v>
      </c>
    </row>
    <row r="155" spans="1:35" x14ac:dyDescent="0.2">
      <c r="A155" s="37" t="s">
        <v>173</v>
      </c>
      <c r="C155" s="182">
        <f>AI155</f>
        <v>2259256.9252065192</v>
      </c>
      <c r="E155" s="40">
        <f>D155+E153</f>
        <v>0</v>
      </c>
      <c r="F155" s="40">
        <f t="shared" ref="F155:AI155" si="80">E155+F153</f>
        <v>35485.72</v>
      </c>
      <c r="G155" s="40">
        <f t="shared" si="80"/>
        <v>71127.677228</v>
      </c>
      <c r="H155" s="40">
        <f t="shared" si="80"/>
        <v>106928.1996186972</v>
      </c>
      <c r="I155" s="40">
        <f t="shared" si="80"/>
        <v>142889.64979301579</v>
      </c>
      <c r="J155" s="40">
        <f t="shared" si="80"/>
        <v>179014.42557493172</v>
      </c>
      <c r="K155" s="40">
        <f t="shared" si="80"/>
        <v>215304.96051599822</v>
      </c>
      <c r="L155" s="40">
        <f t="shared" si="80"/>
        <v>251763.7244276866</v>
      </c>
      <c r="M155" s="40">
        <f t="shared" si="80"/>
        <v>288393.22392165911</v>
      </c>
      <c r="N155" s="40">
        <f t="shared" si="80"/>
        <v>325196.00295809185</v>
      </c>
      <c r="O155" s="40">
        <f t="shared" si="80"/>
        <v>152174.64340216742</v>
      </c>
      <c r="P155" s="40">
        <f t="shared" si="80"/>
        <v>289473.09158720612</v>
      </c>
      <c r="Q155" s="40">
        <f t="shared" si="80"/>
        <v>423869.63898523536</v>
      </c>
      <c r="R155" s="40">
        <f t="shared" si="80"/>
        <v>555252.3885031261</v>
      </c>
      <c r="S155" s="40">
        <f t="shared" si="80"/>
        <v>683502.69671527634</v>
      </c>
      <c r="T155" s="40">
        <f t="shared" si="80"/>
        <v>808494.77586363908</v>
      </c>
      <c r="U155" s="40">
        <f t="shared" si="80"/>
        <v>930095.27210411744</v>
      </c>
      <c r="V155" s="40">
        <f t="shared" si="80"/>
        <v>1048162.8185774076</v>
      </c>
      <c r="W155" s="40">
        <f t="shared" si="80"/>
        <v>1162547.5617971339</v>
      </c>
      <c r="X155" s="40">
        <f t="shared" si="80"/>
        <v>1273090.659757775</v>
      </c>
      <c r="Y155" s="40">
        <f t="shared" si="80"/>
        <v>1328747.7500691146</v>
      </c>
      <c r="Z155" s="40">
        <f t="shared" si="80"/>
        <v>1510576.4455436741</v>
      </c>
      <c r="AA155" s="40">
        <f t="shared" si="80"/>
        <v>1694511.2479106018</v>
      </c>
      <c r="AB155" s="40">
        <f t="shared" si="80"/>
        <v>1880582.4364632659</v>
      </c>
      <c r="AC155" s="40">
        <f t="shared" si="80"/>
        <v>2068820.6569508102</v>
      </c>
      <c r="AD155" s="40">
        <f t="shared" si="80"/>
        <v>2259256.9252065192</v>
      </c>
      <c r="AE155" s="40">
        <f t="shared" si="80"/>
        <v>2259256.9252065192</v>
      </c>
      <c r="AF155" s="40">
        <f t="shared" si="80"/>
        <v>2259256.9252065192</v>
      </c>
      <c r="AG155" s="40">
        <f t="shared" si="80"/>
        <v>2259256.9252065192</v>
      </c>
      <c r="AH155" s="40">
        <f t="shared" si="80"/>
        <v>2259256.9252065192</v>
      </c>
      <c r="AI155" s="40">
        <f t="shared" si="80"/>
        <v>2259256.9252065192</v>
      </c>
    </row>
    <row r="156" spans="1:35" x14ac:dyDescent="0.2">
      <c r="A156" s="37" t="s">
        <v>174</v>
      </c>
      <c r="C156" s="182">
        <f>AI156</f>
        <v>862003.53888378793</v>
      </c>
      <c r="E156" s="40">
        <f>D156+E154</f>
        <v>-621600</v>
      </c>
      <c r="F156" s="40">
        <f t="shared" ref="F156:AI156" si="81">E156+F154</f>
        <v>-462114.57680468593</v>
      </c>
      <c r="G156" s="40">
        <f t="shared" si="81"/>
        <v>-263106.24636557588</v>
      </c>
      <c r="H156" s="40">
        <f t="shared" si="81"/>
        <v>-120050.98015450279</v>
      </c>
      <c r="I156" s="40">
        <f t="shared" si="81"/>
        <v>-13650.293363182136</v>
      </c>
      <c r="J156" s="40">
        <f t="shared" si="81"/>
        <v>85195.472836349072</v>
      </c>
      <c r="K156" s="40">
        <f t="shared" si="81"/>
        <v>153998.71092084952</v>
      </c>
      <c r="L156" s="40">
        <f t="shared" si="81"/>
        <v>192347.87233062822</v>
      </c>
      <c r="M156" s="40">
        <f t="shared" si="81"/>
        <v>221906.07401384716</v>
      </c>
      <c r="N156" s="40">
        <f t="shared" si="81"/>
        <v>242210.83747698419</v>
      </c>
      <c r="O156" s="40">
        <f t="shared" si="81"/>
        <v>726895.91533473169</v>
      </c>
      <c r="P156" s="40">
        <f t="shared" si="81"/>
        <v>735000.66345919319</v>
      </c>
      <c r="Q156" s="40">
        <f t="shared" si="81"/>
        <v>743226.17233070917</v>
      </c>
      <c r="R156" s="40">
        <f t="shared" si="81"/>
        <v>751574.24128441082</v>
      </c>
      <c r="S156" s="40">
        <f t="shared" si="81"/>
        <v>760046.69646552252</v>
      </c>
      <c r="T156" s="40">
        <f t="shared" si="81"/>
        <v>768645.39122883289</v>
      </c>
      <c r="U156" s="40">
        <f t="shared" si="81"/>
        <v>777372.20654411649</v>
      </c>
      <c r="V156" s="40">
        <f t="shared" si="81"/>
        <v>786229.05140759784</v>
      </c>
      <c r="W156" s="40">
        <f t="shared" si="81"/>
        <v>795217.86325954506</v>
      </c>
      <c r="X156" s="40">
        <f t="shared" si="81"/>
        <v>804340.60840808635</v>
      </c>
      <c r="Y156" s="40">
        <f t="shared" si="81"/>
        <v>813599.28245934087</v>
      </c>
      <c r="Z156" s="40">
        <f t="shared" si="81"/>
        <v>822995.91075395909</v>
      </c>
      <c r="AA156" s="40">
        <f t="shared" si="81"/>
        <v>832532.54881016712</v>
      </c>
      <c r="AB156" s="40">
        <f t="shared" si="81"/>
        <v>842211.28277341265</v>
      </c>
      <c r="AC156" s="40">
        <f t="shared" si="81"/>
        <v>852034.22987271054</v>
      </c>
      <c r="AD156" s="40">
        <f t="shared" si="81"/>
        <v>862003.53888378793</v>
      </c>
      <c r="AE156" s="40">
        <f t="shared" si="81"/>
        <v>862003.53888378793</v>
      </c>
      <c r="AF156" s="40">
        <f t="shared" si="81"/>
        <v>862003.53888378793</v>
      </c>
      <c r="AG156" s="40">
        <f t="shared" si="81"/>
        <v>862003.53888378793</v>
      </c>
      <c r="AH156" s="40">
        <f t="shared" si="81"/>
        <v>862003.53888378793</v>
      </c>
      <c r="AI156" s="40">
        <f t="shared" si="81"/>
        <v>862003.53888378793</v>
      </c>
    </row>
    <row r="157" spans="1:35" x14ac:dyDescent="0.2">
      <c r="A157" s="37" t="s">
        <v>240</v>
      </c>
      <c r="C157" s="182">
        <f>$B$15+IF($B$14="Local Economy",SysCost-$H$14,0)</f>
        <v>525000</v>
      </c>
    </row>
    <row r="158" spans="1:35" x14ac:dyDescent="0.2">
      <c r="A158" s="37" t="s">
        <v>241</v>
      </c>
      <c r="C158" s="182">
        <f>-$B$15+IF($B$14="Outside Economy",SysCost-$H$14,0)</f>
        <v>1029000</v>
      </c>
    </row>
    <row r="159" spans="1:35" ht="15.75" x14ac:dyDescent="0.25">
      <c r="A159" s="163"/>
      <c r="C159" s="2"/>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row>
    <row r="160" spans="1:35" x14ac:dyDescent="0.2">
      <c r="C160" s="2"/>
    </row>
    <row r="161" spans="1:20" x14ac:dyDescent="0.2">
      <c r="C161" s="2"/>
    </row>
    <row r="162" spans="1:20" x14ac:dyDescent="0.2">
      <c r="C162" s="2"/>
    </row>
    <row r="163" spans="1:20" ht="15.75" x14ac:dyDescent="0.25">
      <c r="A163" s="163"/>
      <c r="C163" s="2"/>
      <c r="T163" s="2"/>
    </row>
    <row r="164" spans="1:20" x14ac:dyDescent="0.2">
      <c r="C164" s="2"/>
    </row>
    <row r="165" spans="1:20" x14ac:dyDescent="0.2">
      <c r="C165" s="2"/>
    </row>
    <row r="166" spans="1:20" x14ac:dyDescent="0.2">
      <c r="C166" s="2"/>
    </row>
    <row r="167" spans="1:20" x14ac:dyDescent="0.2">
      <c r="C167" s="2"/>
    </row>
    <row r="168" spans="1:20" x14ac:dyDescent="0.2">
      <c r="C168" s="2"/>
    </row>
    <row r="169" spans="1:20" x14ac:dyDescent="0.2">
      <c r="C169" s="2"/>
    </row>
    <row r="170" spans="1:20" x14ac:dyDescent="0.2">
      <c r="C170" s="2"/>
    </row>
    <row r="171" spans="1:20" x14ac:dyDescent="0.2">
      <c r="C171" s="2"/>
    </row>
  </sheetData>
  <sheetProtection algorithmName="SHA-512" hashValue="Wc0Gnsb6AhFnhQCsI6/aQoH1zmU/TEjhGOgeFSua7zdTb+9cd1FURbfRFUm0zBMOr/vWJWpsemKk8YbuPYLXPg==" saltValue="cAJNUsipecomF3n/ZfIM2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1" max="22"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AP171"/>
  <sheetViews>
    <sheetView zoomScale="68" zoomScaleNormal="68" workbookViewId="0">
      <selection activeCell="A5" sqref="A5"/>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6" customWidth="1"/>
    <col min="21" max="41" width="18.28515625" style="2" customWidth="1"/>
    <col min="42" max="16384" width="9.140625" style="2"/>
  </cols>
  <sheetData>
    <row r="1" spans="1:42" s="53" customFormat="1" ht="26.25" customHeight="1" x14ac:dyDescent="0.4">
      <c r="A1" s="73" t="s">
        <v>75</v>
      </c>
      <c r="B1" s="73"/>
      <c r="C1" s="73"/>
      <c r="D1" s="2"/>
      <c r="E1" s="501" t="s">
        <v>104</v>
      </c>
      <c r="F1" s="501"/>
      <c r="G1" s="2"/>
      <c r="H1" s="499" t="s">
        <v>76</v>
      </c>
      <c r="I1" s="499"/>
      <c r="J1" s="499"/>
      <c r="K1" s="499"/>
      <c r="L1" s="499"/>
      <c r="M1" s="499"/>
      <c r="N1" s="499"/>
      <c r="O1" s="499"/>
      <c r="P1" s="499"/>
      <c r="Q1" s="499"/>
      <c r="R1" s="499"/>
      <c r="S1" s="499"/>
      <c r="T1" s="499"/>
      <c r="U1" s="2"/>
      <c r="V1" s="2"/>
      <c r="W1" s="2"/>
      <c r="X1" s="2"/>
      <c r="Y1" s="2"/>
      <c r="Z1" s="2"/>
      <c r="AA1" s="2"/>
      <c r="AB1" s="2"/>
      <c r="AC1" s="2"/>
      <c r="AD1" s="2"/>
      <c r="AE1" s="2"/>
      <c r="AF1" s="2"/>
      <c r="AG1" s="2"/>
      <c r="AH1" s="2"/>
      <c r="AI1" s="2"/>
      <c r="AJ1" s="2"/>
      <c r="AK1" s="2"/>
      <c r="AL1" s="2"/>
      <c r="AM1" s="2"/>
      <c r="AN1" s="2"/>
      <c r="AO1" s="2"/>
      <c r="AP1" s="2"/>
    </row>
    <row r="2" spans="1:42" s="53" customFormat="1" ht="26.25" x14ac:dyDescent="0.4">
      <c r="A2" s="73" t="s">
        <v>251</v>
      </c>
      <c r="B2" s="65"/>
      <c r="C2" s="115"/>
      <c r="D2" s="2"/>
      <c r="E2" s="501"/>
      <c r="F2" s="501"/>
      <c r="G2" s="2"/>
      <c r="H2" s="499"/>
      <c r="I2" s="499"/>
      <c r="J2" s="499"/>
      <c r="K2" s="499"/>
      <c r="L2" s="499"/>
      <c r="M2" s="499"/>
      <c r="N2" s="499"/>
      <c r="O2" s="499"/>
      <c r="P2" s="499"/>
      <c r="Q2" s="499"/>
      <c r="R2" s="499"/>
      <c r="S2" s="499"/>
      <c r="T2" s="499"/>
      <c r="U2" s="2"/>
      <c r="V2" s="2"/>
      <c r="W2" s="2"/>
      <c r="X2" s="2"/>
      <c r="Y2" s="2"/>
      <c r="Z2" s="2"/>
      <c r="AA2" s="2"/>
      <c r="AB2" s="2"/>
      <c r="AC2" s="2"/>
      <c r="AD2" s="2"/>
      <c r="AE2" s="2"/>
      <c r="AF2" s="2"/>
      <c r="AG2" s="2"/>
      <c r="AH2" s="2"/>
      <c r="AI2" s="2"/>
      <c r="AJ2" s="2"/>
      <c r="AK2" s="2"/>
      <c r="AL2" s="2"/>
      <c r="AM2" s="2"/>
      <c r="AN2" s="2"/>
      <c r="AO2" s="2"/>
      <c r="AP2" s="2"/>
    </row>
    <row r="3" spans="1:42" s="53" customFormat="1" ht="26.25" x14ac:dyDescent="0.4">
      <c r="A3" s="207" t="s">
        <v>250</v>
      </c>
      <c r="B3" s="73"/>
      <c r="C3" s="73"/>
      <c r="D3" s="2"/>
      <c r="E3" s="501"/>
      <c r="F3" s="501"/>
      <c r="G3" s="2"/>
      <c r="H3" s="499"/>
      <c r="I3" s="499"/>
      <c r="J3" s="499"/>
      <c r="K3" s="499"/>
      <c r="L3" s="499"/>
      <c r="M3" s="499"/>
      <c r="N3" s="499"/>
      <c r="O3" s="499"/>
      <c r="P3" s="499"/>
      <c r="Q3" s="499"/>
      <c r="R3" s="499"/>
      <c r="S3" s="499"/>
      <c r="T3" s="499"/>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0"/>
      <c r="B4" s="30"/>
      <c r="C4" s="16"/>
      <c r="D4" s="4" t="s">
        <v>54</v>
      </c>
      <c r="E4" s="67"/>
      <c r="H4" s="62"/>
      <c r="J4" s="30"/>
      <c r="K4" s="30"/>
      <c r="L4" s="30"/>
      <c r="M4" s="30"/>
      <c r="N4" s="30"/>
      <c r="O4" s="30"/>
      <c r="P4" s="30"/>
      <c r="Q4" s="5"/>
      <c r="R4" s="5"/>
      <c r="S4" s="5"/>
      <c r="T4" s="27"/>
      <c r="U4" s="5"/>
      <c r="V4" s="5"/>
      <c r="W4" s="5"/>
    </row>
    <row r="5" spans="1:42" ht="24" customHeight="1" x14ac:dyDescent="0.25">
      <c r="B5" s="32"/>
      <c r="C5" s="16"/>
      <c r="D5" s="203" t="s">
        <v>237</v>
      </c>
      <c r="R5" s="5"/>
      <c r="S5" s="5"/>
      <c r="T5" s="27"/>
      <c r="U5" s="5"/>
      <c r="V5" s="5"/>
      <c r="W5" s="5"/>
    </row>
    <row r="6" spans="1:42" ht="24" customHeight="1" x14ac:dyDescent="0.25">
      <c r="A6" s="69" t="s">
        <v>94</v>
      </c>
      <c r="B6" s="205" t="s">
        <v>148</v>
      </c>
      <c r="D6" s="204" t="s">
        <v>93</v>
      </c>
      <c r="T6" s="2"/>
    </row>
    <row r="7" spans="1:42" ht="18.75" customHeight="1" x14ac:dyDescent="0.25">
      <c r="A7" s="69"/>
      <c r="C7" s="2"/>
      <c r="T7" s="2"/>
    </row>
    <row r="8" spans="1:42" ht="18.75" customHeight="1" x14ac:dyDescent="0.25">
      <c r="A8" s="69" t="s">
        <v>82</v>
      </c>
      <c r="B8" s="75" t="str">
        <f>VLOOKUP($B$6,'User Inputs'!$B$10:$AB$14,'User Inputs'!$C$16)</f>
        <v>Community Owned (taxable)</v>
      </c>
      <c r="C8" s="2"/>
      <c r="H8" s="63"/>
      <c r="R8" s="5"/>
      <c r="S8" s="5"/>
      <c r="T8" s="27"/>
      <c r="U8" s="5"/>
      <c r="V8" s="5"/>
      <c r="W8" s="5"/>
    </row>
    <row r="9" spans="1:42" ht="18.75" customHeight="1" x14ac:dyDescent="0.25">
      <c r="A9" s="1" t="s">
        <v>27</v>
      </c>
      <c r="B9" s="75" t="str">
        <f>IF(VLOOKUP($B$6,'User Inputs'!$B$10:$AB$14,'User Inputs'!$E$16)='User Inputs'!$C$69,"Non-Taxable",
IF(VLOOKUP($B$6,'User Inputs'!$B$10:$AB$14,'User Inputs'!$E$16)='User Inputs'!$C$70,"Taxable (Corporation)", "Taxable (Residential)"))</f>
        <v>Taxable (Corporation)</v>
      </c>
      <c r="C9" s="2"/>
      <c r="H9" s="63"/>
      <c r="R9" s="5"/>
      <c r="S9" s="5"/>
      <c r="T9" s="27"/>
      <c r="U9" s="5"/>
      <c r="V9" s="5"/>
      <c r="W9" s="5"/>
    </row>
    <row r="10" spans="1:42" ht="18.75" customHeight="1" x14ac:dyDescent="0.25">
      <c r="A10" s="8" t="s">
        <v>6</v>
      </c>
      <c r="B10" s="12"/>
      <c r="C10" s="13"/>
      <c r="E10" s="8" t="s">
        <v>25</v>
      </c>
      <c r="G10" s="5"/>
      <c r="H10" s="5"/>
      <c r="I10" s="99"/>
      <c r="J10" s="99"/>
      <c r="K10" s="99"/>
      <c r="L10" s="99"/>
      <c r="M10" s="99"/>
      <c r="N10" s="99"/>
      <c r="O10" s="100"/>
      <c r="P10" s="100"/>
      <c r="Q10" s="101"/>
      <c r="R10" s="100"/>
      <c r="S10" s="100"/>
      <c r="T10" s="99"/>
      <c r="U10" s="100"/>
      <c r="V10" s="100"/>
      <c r="W10" s="100"/>
      <c r="X10" s="100"/>
      <c r="Y10" s="100"/>
      <c r="Z10" s="100"/>
      <c r="AA10" s="100"/>
      <c r="AB10" s="100"/>
      <c r="AC10" s="100"/>
      <c r="AD10" s="100"/>
      <c r="AE10" s="100"/>
      <c r="AF10" s="100"/>
      <c r="AG10" s="100"/>
      <c r="AH10" s="100"/>
      <c r="AI10" s="100"/>
      <c r="AJ10" s="100"/>
      <c r="AK10" s="100"/>
      <c r="AL10" s="100"/>
      <c r="AM10" s="100"/>
      <c r="AN10" s="100"/>
    </row>
    <row r="11" spans="1:42" ht="20.25" customHeight="1" x14ac:dyDescent="0.2">
      <c r="A11" s="18" t="s">
        <v>28</v>
      </c>
      <c r="B11" s="116">
        <f>VLOOKUP($B$6,'User Inputs'!$B$10:$AB$14,'User Inputs'!$G$16)*1000</f>
        <v>1000000</v>
      </c>
      <c r="C11" s="13" t="s">
        <v>9</v>
      </c>
      <c r="E11" s="18" t="s">
        <v>0</v>
      </c>
      <c r="G11" s="78">
        <f>'User Inputs'!$D$32</f>
        <v>0.21</v>
      </c>
      <c r="H11" s="24"/>
      <c r="I11" s="102"/>
      <c r="J11" s="103"/>
      <c r="K11" s="102"/>
      <c r="L11" s="102"/>
      <c r="M11" s="100"/>
      <c r="N11" s="100"/>
      <c r="O11" s="101"/>
      <c r="P11" s="100"/>
      <c r="Q11" s="100"/>
      <c r="R11" s="99"/>
      <c r="S11" s="100"/>
      <c r="T11" s="100"/>
      <c r="U11" s="100"/>
      <c r="V11" s="100"/>
      <c r="W11" s="100"/>
      <c r="X11" s="100"/>
      <c r="Y11" s="100"/>
      <c r="Z11" s="100"/>
      <c r="AA11" s="100"/>
      <c r="AB11" s="100"/>
      <c r="AC11" s="100"/>
      <c r="AD11" s="100"/>
      <c r="AE11" s="100"/>
      <c r="AF11" s="100"/>
      <c r="AG11" s="100"/>
      <c r="AH11" s="100"/>
      <c r="AI11" s="100"/>
      <c r="AJ11" s="100"/>
      <c r="AK11" s="100"/>
      <c r="AL11" s="100"/>
      <c r="AM11" s="104">
        <v>28</v>
      </c>
      <c r="AN11" s="104">
        <v>29</v>
      </c>
      <c r="AO11" s="36">
        <v>30</v>
      </c>
    </row>
    <row r="12" spans="1:42" ht="18" customHeight="1" x14ac:dyDescent="0.2">
      <c r="A12" s="46" t="s">
        <v>62</v>
      </c>
      <c r="B12" s="117">
        <f>VLOOKUP($B$6,'User Inputs'!$B$10:$AB$14,'User Inputs'!$F$16)</f>
        <v>2.1</v>
      </c>
      <c r="C12" s="13" t="s">
        <v>121</v>
      </c>
      <c r="E12" s="18" t="s">
        <v>1</v>
      </c>
      <c r="G12" s="78">
        <f>'User Inputs'!$D$33</f>
        <v>0.08</v>
      </c>
      <c r="H12" s="13"/>
      <c r="I12" s="102"/>
      <c r="J12" s="102"/>
      <c r="K12" s="102"/>
      <c r="L12" s="102"/>
      <c r="M12" s="102"/>
      <c r="N12" s="100"/>
      <c r="O12" s="101"/>
      <c r="P12" s="100"/>
      <c r="Q12" s="100"/>
      <c r="R12" s="99"/>
      <c r="S12" s="100"/>
      <c r="T12" s="100"/>
      <c r="U12" s="100"/>
      <c r="V12" s="100"/>
      <c r="W12" s="100"/>
      <c r="X12" s="100"/>
      <c r="Y12" s="100"/>
      <c r="Z12" s="100"/>
      <c r="AA12" s="100"/>
      <c r="AB12" s="100"/>
      <c r="AC12" s="100"/>
      <c r="AD12" s="100"/>
      <c r="AE12" s="100"/>
      <c r="AF12" s="100"/>
      <c r="AG12" s="100"/>
      <c r="AH12" s="100"/>
      <c r="AI12" s="100"/>
      <c r="AJ12" s="100"/>
      <c r="AK12" s="100"/>
      <c r="AL12" s="100"/>
      <c r="AM12" s="100"/>
      <c r="AN12" s="100"/>
    </row>
    <row r="13" spans="1:42" ht="18" customHeight="1" x14ac:dyDescent="0.2">
      <c r="A13" s="46" t="s">
        <v>63</v>
      </c>
      <c r="B13" s="189">
        <f>costperwatt*SystemSize</f>
        <v>2100000</v>
      </c>
      <c r="C13" s="13"/>
      <c r="E13" s="18" t="s">
        <v>36</v>
      </c>
      <c r="G13" s="197">
        <f>G11+(G12*(1-G11))</f>
        <v>0.2732</v>
      </c>
      <c r="H13" s="13"/>
      <c r="I13" s="102"/>
      <c r="J13" s="102"/>
      <c r="K13" s="102"/>
      <c r="L13" s="102"/>
      <c r="M13" s="102"/>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row>
    <row r="14" spans="1:42" ht="18" customHeight="1" x14ac:dyDescent="0.2">
      <c r="A14" s="18" t="s">
        <v>166</v>
      </c>
      <c r="B14" s="179" t="str">
        <f>VLOOKUP($B$6,'User Inputs'!$B$10:$AB$14,'User Inputs'!$D$16)</f>
        <v>Local Economy</v>
      </c>
      <c r="C14" s="13"/>
      <c r="E14" s="18" t="s">
        <v>10</v>
      </c>
      <c r="G14" s="195">
        <f>IF(taxable="Non-Taxable", 0,VLOOKUP($B$6,'User Inputs'!$B$10:$AB$14,'User Inputs'!$H$16))</f>
        <v>0.26</v>
      </c>
      <c r="H14" s="196">
        <f>IF(taxable="Non-Taxable",0,SysCost*FedTaxCredit)</f>
        <v>546000</v>
      </c>
      <c r="I14" s="102"/>
      <c r="J14" s="102"/>
      <c r="K14" s="102"/>
      <c r="L14" s="102"/>
      <c r="M14" s="102"/>
      <c r="N14" s="105"/>
      <c r="O14" s="106"/>
      <c r="P14" s="105"/>
      <c r="Q14" s="105"/>
      <c r="R14" s="105"/>
      <c r="S14" s="100"/>
      <c r="T14" s="100"/>
      <c r="U14" s="100"/>
      <c r="V14" s="100"/>
      <c r="W14" s="100"/>
      <c r="X14" s="100"/>
      <c r="Y14" s="100"/>
      <c r="Z14" s="100"/>
      <c r="AA14" s="100"/>
      <c r="AB14" s="100"/>
      <c r="AC14" s="100"/>
      <c r="AD14" s="100"/>
      <c r="AE14" s="100"/>
      <c r="AF14" s="100"/>
      <c r="AG14" s="100"/>
      <c r="AH14" s="100"/>
      <c r="AI14" s="100"/>
      <c r="AJ14" s="100"/>
      <c r="AK14" s="100"/>
      <c r="AL14" s="100"/>
      <c r="AM14" s="100"/>
      <c r="AN14" s="100"/>
    </row>
    <row r="15" spans="1:42" ht="18" customHeight="1" x14ac:dyDescent="0.2">
      <c r="A15" s="18" t="s">
        <v>129</v>
      </c>
      <c r="B15" s="120">
        <f>IF(VLOOKUP($B$6,'User Inputs'!$B$10:$AB$14,'User Inputs'!$W$16)=0, 0,IF(VLOOKUP($B$6,'User Inputs'!$B$10:$AB$14,'User Inputs'!$X$16)&lt;1,SysCost*VLOOKUP($B$6,'User Inputs'!$B$10:$AB$14,'User Inputs'!$X$16),VLOOKUP($B$6,'User Inputs'!$B$10:$AB$14,'User Inputs'!$X$16)))</f>
        <v>0</v>
      </c>
      <c r="C15" s="20"/>
      <c r="J15" s="102"/>
      <c r="K15" s="102"/>
      <c r="L15" s="102"/>
      <c r="M15" s="102"/>
      <c r="N15" s="107"/>
      <c r="O15" s="107"/>
      <c r="P15" s="107"/>
      <c r="Q15" s="107"/>
      <c r="R15" s="107"/>
      <c r="S15" s="100"/>
      <c r="T15" s="100"/>
      <c r="U15" s="100"/>
      <c r="V15" s="100"/>
      <c r="W15" s="100"/>
      <c r="X15" s="100"/>
      <c r="Y15" s="100"/>
      <c r="Z15" s="100"/>
      <c r="AA15" s="100"/>
      <c r="AB15" s="100"/>
      <c r="AC15" s="100"/>
      <c r="AD15" s="100"/>
      <c r="AE15" s="100"/>
      <c r="AF15" s="100"/>
      <c r="AG15" s="100"/>
      <c r="AH15" s="100"/>
      <c r="AI15" s="100"/>
      <c r="AJ15" s="100"/>
      <c r="AK15" s="100"/>
      <c r="AL15" s="100"/>
      <c r="AM15" s="100"/>
      <c r="AN15" s="100"/>
    </row>
    <row r="16" spans="1:42" ht="18" customHeight="1" x14ac:dyDescent="0.2">
      <c r="A16" s="18" t="s">
        <v>128</v>
      </c>
      <c r="B16" s="119">
        <f>VLOOKUP($B$6,'User Inputs'!$B$10:$AB$14,'User Inputs'!$W$16)</f>
        <v>0</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100"/>
      <c r="AL16" s="100"/>
    </row>
    <row r="17" spans="1:36" ht="18" customHeight="1" x14ac:dyDescent="0.2">
      <c r="A17" s="46" t="s">
        <v>69</v>
      </c>
      <c r="B17" s="190">
        <f>B18/B11</f>
        <v>0</v>
      </c>
      <c r="C17" s="20" t="s">
        <v>12</v>
      </c>
      <c r="E17" s="18" t="s">
        <v>95</v>
      </c>
      <c r="G17" s="198">
        <v>0.2</v>
      </c>
      <c r="H17" s="198">
        <v>0.32</v>
      </c>
      <c r="I17" s="198">
        <v>0.192</v>
      </c>
      <c r="J17" s="198">
        <v>0.1152</v>
      </c>
      <c r="K17" s="198">
        <v>0.1152</v>
      </c>
      <c r="L17" s="198">
        <v>5.7599999999999998E-2</v>
      </c>
      <c r="M17" s="107"/>
      <c r="N17" s="107"/>
      <c r="O17" s="107"/>
      <c r="P17" s="107"/>
      <c r="Q17" s="107"/>
      <c r="R17" s="107"/>
      <c r="S17" s="100"/>
      <c r="T17" s="100"/>
      <c r="U17" s="100"/>
      <c r="V17" s="100"/>
      <c r="W17" s="100"/>
      <c r="X17" s="100"/>
      <c r="Y17" s="100"/>
      <c r="Z17" s="100"/>
      <c r="AA17" s="100"/>
      <c r="AB17" s="100"/>
      <c r="AC17" s="100"/>
      <c r="AD17" s="100"/>
      <c r="AE17" s="100"/>
      <c r="AF17" s="100"/>
      <c r="AG17" s="100"/>
      <c r="AH17" s="100"/>
      <c r="AI17" s="100"/>
      <c r="AJ17" s="100"/>
    </row>
    <row r="18" spans="1:36" ht="18" customHeight="1" x14ac:dyDescent="0.2">
      <c r="A18" s="46" t="s">
        <v>70</v>
      </c>
      <c r="B18" s="118"/>
      <c r="C18" s="20"/>
      <c r="E18" s="18" t="s">
        <v>65</v>
      </c>
      <c r="G18" s="198">
        <f t="shared" ref="G18:AJ18" si="0">IF(taxable="Taxable (Corporation)",G17,0)</f>
        <v>0.2</v>
      </c>
      <c r="H18" s="198">
        <f t="shared" si="0"/>
        <v>0.32</v>
      </c>
      <c r="I18" s="198">
        <f t="shared" si="0"/>
        <v>0.192</v>
      </c>
      <c r="J18" s="198">
        <f t="shared" si="0"/>
        <v>0.1152</v>
      </c>
      <c r="K18" s="198">
        <f t="shared" si="0"/>
        <v>0.1152</v>
      </c>
      <c r="L18" s="198">
        <f t="shared" si="0"/>
        <v>5.7599999999999998E-2</v>
      </c>
      <c r="M18" s="198">
        <f t="shared" si="0"/>
        <v>0</v>
      </c>
      <c r="N18" s="198">
        <f t="shared" si="0"/>
        <v>0</v>
      </c>
      <c r="O18" s="198">
        <f t="shared" si="0"/>
        <v>0</v>
      </c>
      <c r="P18" s="198">
        <f t="shared" si="0"/>
        <v>0</v>
      </c>
      <c r="Q18" s="198">
        <f t="shared" si="0"/>
        <v>0</v>
      </c>
      <c r="R18" s="198">
        <f t="shared" si="0"/>
        <v>0</v>
      </c>
      <c r="S18" s="198">
        <f t="shared" si="0"/>
        <v>0</v>
      </c>
      <c r="T18" s="198">
        <f t="shared" si="0"/>
        <v>0</v>
      </c>
      <c r="U18" s="198">
        <f t="shared" si="0"/>
        <v>0</v>
      </c>
      <c r="V18" s="198">
        <f t="shared" si="0"/>
        <v>0</v>
      </c>
      <c r="W18" s="198">
        <f t="shared" si="0"/>
        <v>0</v>
      </c>
      <c r="X18" s="198">
        <f t="shared" si="0"/>
        <v>0</v>
      </c>
      <c r="Y18" s="198">
        <f t="shared" si="0"/>
        <v>0</v>
      </c>
      <c r="Z18" s="198">
        <f t="shared" si="0"/>
        <v>0</v>
      </c>
      <c r="AA18" s="198">
        <f t="shared" si="0"/>
        <v>0</v>
      </c>
      <c r="AB18" s="198">
        <f t="shared" si="0"/>
        <v>0</v>
      </c>
      <c r="AC18" s="198">
        <f t="shared" si="0"/>
        <v>0</v>
      </c>
      <c r="AD18" s="198">
        <f t="shared" si="0"/>
        <v>0</v>
      </c>
      <c r="AE18" s="198">
        <f t="shared" si="0"/>
        <v>0</v>
      </c>
      <c r="AF18" s="198">
        <f t="shared" si="0"/>
        <v>0</v>
      </c>
      <c r="AG18" s="198">
        <f t="shared" si="0"/>
        <v>0</v>
      </c>
      <c r="AH18" s="198">
        <f t="shared" si="0"/>
        <v>0</v>
      </c>
      <c r="AI18" s="198">
        <f t="shared" si="0"/>
        <v>0</v>
      </c>
      <c r="AJ18" s="198">
        <f t="shared" si="0"/>
        <v>0</v>
      </c>
    </row>
    <row r="19" spans="1:36" ht="18" customHeight="1" x14ac:dyDescent="0.25">
      <c r="A19" s="66" t="s">
        <v>126</v>
      </c>
      <c r="B19" s="75">
        <f>VLOOKUP($B$6,'User Inputs'!$B$10:$AB$14,'User Inputs'!$I$16)</f>
        <v>0</v>
      </c>
      <c r="C19" s="20"/>
      <c r="E19" s="52" t="s">
        <v>66</v>
      </c>
      <c r="O19" s="27"/>
      <c r="P19" s="25"/>
      <c r="Q19" s="25"/>
      <c r="R19" s="22"/>
      <c r="T19" s="2"/>
    </row>
    <row r="20" spans="1:36" ht="18" customHeight="1" x14ac:dyDescent="0.2">
      <c r="E20" s="64" t="s">
        <v>67</v>
      </c>
      <c r="G20" s="114">
        <f>SysCost</f>
        <v>2100000</v>
      </c>
      <c r="O20" s="27"/>
      <c r="P20" s="25"/>
      <c r="Q20" s="25"/>
      <c r="R20" s="22"/>
      <c r="T20" s="2"/>
    </row>
    <row r="21" spans="1:36" ht="18" customHeight="1" x14ac:dyDescent="0.25">
      <c r="A21" s="8" t="s">
        <v>14</v>
      </c>
      <c r="B21" s="12"/>
      <c r="E21" s="64" t="s">
        <v>96</v>
      </c>
      <c r="G21" s="114">
        <f>IF(taxable="Taxable (Corporation)",-Rebate,0)</f>
        <v>0</v>
      </c>
      <c r="O21" s="27"/>
      <c r="P21" s="25"/>
      <c r="Q21" s="25"/>
      <c r="R21" s="22"/>
      <c r="T21" s="2"/>
    </row>
    <row r="22" spans="1:36" ht="18" customHeight="1" x14ac:dyDescent="0.2">
      <c r="A22" s="18" t="s">
        <v>11</v>
      </c>
      <c r="B22" s="191">
        <f>'User Inputs'!$D$21</f>
        <v>0.13300000000000001</v>
      </c>
      <c r="E22" s="64" t="s">
        <v>72</v>
      </c>
      <c r="G22" s="189">
        <f>-H14*0.5</f>
        <v>-273000</v>
      </c>
      <c r="O22" s="27"/>
      <c r="P22" s="25"/>
      <c r="Q22" s="25"/>
      <c r="R22" s="22"/>
      <c r="T22" s="2"/>
    </row>
    <row r="23" spans="1:36" ht="18" customHeight="1" x14ac:dyDescent="0.2">
      <c r="A23" s="18" t="s">
        <v>20</v>
      </c>
      <c r="B23" s="192">
        <f>'User Inputs'!$D$22</f>
        <v>5.0000000000000001E-3</v>
      </c>
      <c r="E23" s="52" t="s">
        <v>66</v>
      </c>
      <c r="G23" s="189">
        <f>SUM(G20:G22)</f>
        <v>1827000</v>
      </c>
      <c r="I23" s="33"/>
      <c r="J23" s="33"/>
      <c r="K23" s="33"/>
      <c r="L23" s="33"/>
      <c r="M23" s="22"/>
      <c r="N23" s="22"/>
      <c r="O23" s="27"/>
      <c r="P23" s="25"/>
      <c r="Q23" s="25"/>
      <c r="R23" s="22"/>
      <c r="T23" s="2"/>
    </row>
    <row r="24" spans="1:36" ht="18" customHeight="1" x14ac:dyDescent="0.25">
      <c r="A24" s="18" t="s">
        <v>123</v>
      </c>
      <c r="B24" s="76">
        <f>'User Inputs'!$D$23</f>
        <v>25</v>
      </c>
      <c r="E24" s="34" t="s">
        <v>26</v>
      </c>
      <c r="G24" s="33"/>
      <c r="H24" s="33"/>
      <c r="I24" s="138" t="s">
        <v>132</v>
      </c>
      <c r="N24" s="22"/>
      <c r="O24" s="27"/>
      <c r="P24" s="5"/>
      <c r="Q24" s="5"/>
      <c r="R24" s="5"/>
      <c r="T24" s="2"/>
    </row>
    <row r="25" spans="1:36" ht="18" customHeight="1" x14ac:dyDescent="0.2">
      <c r="A25" s="18" t="s">
        <v>102</v>
      </c>
      <c r="B25" s="193">
        <v>20</v>
      </c>
      <c r="E25" s="208" t="s">
        <v>257</v>
      </c>
      <c r="F25" s="61"/>
      <c r="G25" s="78">
        <f>VLOOKUP($B$6,'User Inputs'!$B$10:$AB$14,'User Inputs'!$S$16)*(1-FedTaxCredit)</f>
        <v>0.29599999999999999</v>
      </c>
      <c r="H25" s="35" t="s">
        <v>7</v>
      </c>
      <c r="I25" s="78">
        <f>VLOOKUP($B$6,'User Inputs'!$B$10:$AB$14,'User Inputs'!$Y$16)</f>
        <v>0</v>
      </c>
      <c r="N25" s="22"/>
      <c r="O25" s="27"/>
      <c r="P25" s="5"/>
      <c r="Q25" s="5"/>
      <c r="R25" s="5"/>
      <c r="T25" s="2"/>
    </row>
    <row r="26" spans="1:36" ht="18" customHeight="1" x14ac:dyDescent="0.2">
      <c r="A26" s="18" t="s">
        <v>109</v>
      </c>
      <c r="B26" s="74">
        <f>VLOOKUP($B$6,'User Inputs'!$B$10:$AB$14,'User Inputs'!$L$16)</f>
        <v>0.2</v>
      </c>
      <c r="E26" s="209" t="s">
        <v>256</v>
      </c>
      <c r="F26" s="61"/>
      <c r="G26" s="199">
        <f>1-FedTaxCredit-G25</f>
        <v>0.44400000000000001</v>
      </c>
      <c r="I26" s="202">
        <f>1-$I$25</f>
        <v>1</v>
      </c>
      <c r="J26" s="13"/>
      <c r="K26" s="15"/>
      <c r="L26" s="13"/>
      <c r="M26" s="22"/>
      <c r="N26" s="22"/>
      <c r="O26" s="27"/>
      <c r="P26" s="5"/>
      <c r="Q26" s="5"/>
      <c r="R26" s="5"/>
      <c r="T26" s="2"/>
    </row>
    <row r="27" spans="1:36" ht="18" customHeight="1" x14ac:dyDescent="0.2">
      <c r="A27" s="18" t="s">
        <v>122</v>
      </c>
      <c r="B27" s="76">
        <f>VLOOKUP($B$6,'User Inputs'!$B$10:$AB$14,'User Inputs'!$M$16)</f>
        <v>20</v>
      </c>
      <c r="C27" s="9" t="s">
        <v>4</v>
      </c>
      <c r="E27" s="210" t="s">
        <v>64</v>
      </c>
      <c r="F27" s="5"/>
      <c r="G27" s="78">
        <f>VLOOKUP($B$6,'User Inputs'!$B$10:$AB$14,'User Inputs'!$T$16)</f>
        <v>0.06</v>
      </c>
      <c r="H27" s="35" t="s">
        <v>8</v>
      </c>
      <c r="I27" s="78">
        <f>VLOOKUP($B$6,'User Inputs'!$B$10:$AB$14,'User Inputs'!$Z$16)</f>
        <v>0</v>
      </c>
      <c r="J27" s="15"/>
      <c r="K27" s="13"/>
      <c r="L27" s="13"/>
      <c r="M27" s="22"/>
      <c r="N27" s="5"/>
      <c r="O27" s="27"/>
      <c r="P27" s="5"/>
      <c r="Q27" s="5"/>
      <c r="R27" s="5"/>
      <c r="T27" s="2"/>
    </row>
    <row r="28" spans="1:36" ht="18" customHeight="1" x14ac:dyDescent="0.2">
      <c r="A28" s="18" t="s">
        <v>113</v>
      </c>
      <c r="B28" s="74">
        <f>VLOOKUP($B$6,'User Inputs'!$B$10:$AB$14,'User Inputs'!$N$16)</f>
        <v>25</v>
      </c>
      <c r="C28" s="9" t="s">
        <v>110</v>
      </c>
      <c r="E28" s="210" t="s">
        <v>2</v>
      </c>
      <c r="F28" s="5"/>
      <c r="G28" s="79">
        <f>VLOOKUP($B$6,'User Inputs'!$B$10:$AB$14,'User Inputs'!$U$16)</f>
        <v>15</v>
      </c>
      <c r="I28" s="79">
        <f>VLOOKUP($B$6,'User Inputs'!$B$10:$AB$14,'User Inputs'!$AA$16)</f>
        <v>0</v>
      </c>
      <c r="J28" s="13" t="s">
        <v>21</v>
      </c>
      <c r="K28" s="13"/>
      <c r="L28" s="13"/>
      <c r="M28" s="22"/>
      <c r="N28" s="5"/>
      <c r="O28" s="27"/>
      <c r="P28" s="5"/>
      <c r="Q28" s="5"/>
      <c r="R28" s="5"/>
      <c r="T28" s="2"/>
    </row>
    <row r="29" spans="1:36" ht="18" customHeight="1" x14ac:dyDescent="0.2">
      <c r="A29" s="18" t="s">
        <v>16</v>
      </c>
      <c r="B29" s="74">
        <f>VLOOKUP($B$6,'User Inputs'!$B$10:$AB$14,'User Inputs'!$J$16)</f>
        <v>0.15</v>
      </c>
      <c r="C29" s="2" t="s">
        <v>5</v>
      </c>
      <c r="E29" s="210" t="s">
        <v>71</v>
      </c>
      <c r="F29" s="5"/>
      <c r="G29" s="189">
        <f>SysCost-B18</f>
        <v>2100000</v>
      </c>
      <c r="H29" s="13"/>
      <c r="I29" s="139"/>
      <c r="J29" s="15"/>
      <c r="K29" s="13"/>
      <c r="L29" s="13"/>
      <c r="M29" s="5"/>
      <c r="N29" s="5"/>
      <c r="O29" s="27"/>
      <c r="P29" s="5"/>
      <c r="Q29" s="5"/>
      <c r="R29" s="5"/>
      <c r="T29" s="2"/>
    </row>
    <row r="30" spans="1:36" ht="18" customHeight="1" x14ac:dyDescent="0.2">
      <c r="A30" s="18" t="s">
        <v>17</v>
      </c>
      <c r="B30" s="77">
        <f>VLOOKUP($B$6,'User Inputs'!$B$10:$AB$14,'User Inputs'!$K$16)</f>
        <v>0.02</v>
      </c>
      <c r="C30" s="13" t="s">
        <v>18</v>
      </c>
      <c r="E30" s="211" t="s">
        <v>8</v>
      </c>
      <c r="F30" s="5"/>
      <c r="G30" s="200">
        <f>NetCost*LoanPer-B19</f>
        <v>932400</v>
      </c>
      <c r="H30" s="13"/>
      <c r="I30" s="161">
        <f>$B$15*$I$26</f>
        <v>0</v>
      </c>
      <c r="J30" s="14"/>
      <c r="K30" s="14"/>
      <c r="L30" s="13"/>
      <c r="M30" s="5"/>
      <c r="N30" s="5"/>
      <c r="O30" s="27"/>
      <c r="P30" s="5"/>
      <c r="Q30" s="5"/>
      <c r="R30" s="5"/>
      <c r="T30" s="2"/>
    </row>
    <row r="31" spans="1:36" ht="18" customHeight="1" x14ac:dyDescent="0.2">
      <c r="A31" s="18" t="s">
        <v>73</v>
      </c>
      <c r="B31" s="74">
        <f>'User Inputs'!D26</f>
        <v>10</v>
      </c>
      <c r="C31" s="13" t="s">
        <v>74</v>
      </c>
      <c r="E31" s="39" t="s">
        <v>143</v>
      </c>
      <c r="G31" s="162" t="str">
        <f>VLOOKUP($B$6,'User Inputs'!$B$10:$AB$14,'User Inputs'!$V$16)</f>
        <v>Yes</v>
      </c>
      <c r="I31" s="162">
        <f>VLOOKUP($B$6,'User Inputs'!$B$10:$AB$14,'User Inputs'!$AB$16)</f>
        <v>0</v>
      </c>
      <c r="J31" s="15"/>
      <c r="K31" s="13"/>
      <c r="L31" s="13"/>
      <c r="M31" s="5"/>
      <c r="N31" s="5"/>
      <c r="O31" s="27"/>
      <c r="P31" s="5"/>
      <c r="Q31" s="5"/>
      <c r="R31" s="5"/>
      <c r="T31" s="2"/>
    </row>
    <row r="32" spans="1:36" ht="18" customHeight="1" x14ac:dyDescent="0.2">
      <c r="A32" s="18" t="s">
        <v>19</v>
      </c>
      <c r="B32" s="189">
        <f>+OMFactor*SystemSize/1000</f>
        <v>10000</v>
      </c>
      <c r="C32" s="13" t="s">
        <v>29</v>
      </c>
      <c r="D32" s="5"/>
      <c r="G32" s="201">
        <f>IF(G31="Yes",1,0)</f>
        <v>1</v>
      </c>
      <c r="I32" s="201">
        <f>IF(I31="Yes",1,0)</f>
        <v>0</v>
      </c>
      <c r="J32" s="14"/>
      <c r="K32" s="14"/>
      <c r="L32" s="13"/>
      <c r="M32" s="5"/>
      <c r="N32" s="5"/>
      <c r="O32" s="27"/>
      <c r="P32" s="5"/>
      <c r="Q32" s="5"/>
      <c r="R32" s="5"/>
      <c r="T32" s="2"/>
    </row>
    <row r="33" spans="1:35" ht="18" customHeight="1" x14ac:dyDescent="0.2">
      <c r="A33" s="18" t="s">
        <v>22</v>
      </c>
      <c r="B33" s="77">
        <f>'User Inputs'!D27</f>
        <v>2.5000000000000001E-2</v>
      </c>
      <c r="C33" s="13" t="s">
        <v>18</v>
      </c>
      <c r="D33" s="5"/>
      <c r="I33" s="14"/>
      <c r="J33" s="14"/>
      <c r="K33" s="14"/>
      <c r="L33" s="13"/>
      <c r="M33" s="5"/>
      <c r="N33" s="5"/>
      <c r="O33" s="27"/>
      <c r="P33" s="5"/>
      <c r="Q33" s="5"/>
      <c r="R33" s="5"/>
      <c r="T33" s="2"/>
    </row>
    <row r="34" spans="1:35" ht="18" customHeight="1" x14ac:dyDescent="0.2">
      <c r="A34" s="18" t="s">
        <v>23</v>
      </c>
      <c r="B34" s="194">
        <f>'User Inputs'!D28</f>
        <v>7.0000000000000007E-2</v>
      </c>
      <c r="C34" s="13" t="s">
        <v>12</v>
      </c>
      <c r="D34" s="5"/>
      <c r="I34" s="14"/>
      <c r="J34" s="14"/>
      <c r="K34" s="14"/>
    </row>
    <row r="35" spans="1:35" ht="18" customHeight="1" x14ac:dyDescent="0.2">
      <c r="A35" s="18" t="s">
        <v>34</v>
      </c>
      <c r="B35" s="76">
        <f>'User Inputs'!D$29</f>
        <v>10</v>
      </c>
      <c r="C35" s="13" t="s">
        <v>24</v>
      </c>
      <c r="D35" s="5"/>
      <c r="I35" s="14"/>
      <c r="J35" s="14"/>
      <c r="K35" s="14"/>
      <c r="L35" s="15"/>
      <c r="M35" s="13"/>
      <c r="N35" s="13"/>
      <c r="O35" s="5"/>
      <c r="P35" s="5"/>
      <c r="Q35" s="27"/>
      <c r="R35" s="5"/>
      <c r="S35" s="5"/>
      <c r="T35" s="5"/>
    </row>
    <row r="36" spans="1:35" ht="18" customHeight="1" x14ac:dyDescent="0.2">
      <c r="A36" s="18" t="s">
        <v>81</v>
      </c>
      <c r="B36" s="77">
        <f>VLOOKUP($B$6,'User Inputs'!$B$10:$AB$14,'User Inputs'!$O$16)</f>
        <v>0.25</v>
      </c>
      <c r="D36" s="5"/>
      <c r="I36" s="14"/>
      <c r="J36" s="14"/>
      <c r="K36" s="14"/>
    </row>
    <row r="37" spans="1:35" ht="18" customHeight="1" x14ac:dyDescent="0.2">
      <c r="A37" s="18" t="s">
        <v>140</v>
      </c>
      <c r="B37" s="77">
        <f>VLOOKUP($B$6,'User Inputs'!$B$10:$AB$14,'User Inputs'!$P$16)</f>
        <v>1</v>
      </c>
      <c r="I37" s="14"/>
      <c r="J37" s="14"/>
      <c r="K37" s="14"/>
    </row>
    <row r="38" spans="1:35" ht="18" customHeight="1" x14ac:dyDescent="0.2">
      <c r="A38" s="2" t="s">
        <v>214</v>
      </c>
      <c r="B38" s="114">
        <f>(VLOOKUP($B$6,'User Inputs'!$B$10:$AB$14,'User Inputs'!$Q$16)+VLOOKUP($B$6,'User Inputs'!$B$10:$AB$14,'User Inputs'!$R$16))*(SystemSize/1000000)</f>
        <v>10000</v>
      </c>
      <c r="C38" s="13" t="s">
        <v>207</v>
      </c>
      <c r="I38" s="14"/>
      <c r="J38" s="14"/>
      <c r="K38" s="14"/>
      <c r="N38" s="13"/>
      <c r="O38" s="15"/>
      <c r="P38" s="13"/>
      <c r="Q38" s="13"/>
      <c r="R38" s="5"/>
      <c r="S38" s="5"/>
      <c r="T38" s="27"/>
      <c r="U38" s="5"/>
      <c r="V38" s="5"/>
      <c r="W38" s="5"/>
    </row>
    <row r="39" spans="1:35" ht="18" customHeight="1" x14ac:dyDescent="0.2">
      <c r="I39" s="14"/>
      <c r="J39" s="14"/>
      <c r="K39" s="14"/>
      <c r="L39" s="13"/>
      <c r="M39" s="13"/>
      <c r="N39" s="13"/>
      <c r="O39" s="15"/>
      <c r="P39" s="13"/>
      <c r="Q39" s="13"/>
      <c r="R39" s="5"/>
      <c r="S39" s="5"/>
      <c r="T39" s="27"/>
      <c r="U39" s="5"/>
      <c r="V39" s="5"/>
      <c r="W39" s="5"/>
    </row>
    <row r="40" spans="1:35" ht="18" customHeight="1" x14ac:dyDescent="0.2">
      <c r="I40" s="14"/>
      <c r="J40" s="14"/>
      <c r="K40" s="14"/>
      <c r="M40" s="13"/>
      <c r="R40" s="5"/>
      <c r="S40" s="5"/>
      <c r="T40" s="27"/>
      <c r="U40" s="5"/>
      <c r="V40" s="5"/>
      <c r="W40" s="5"/>
    </row>
    <row r="41" spans="1:35" ht="18" customHeight="1" x14ac:dyDescent="0.2">
      <c r="A41" s="3"/>
      <c r="B41" s="3"/>
      <c r="C41" s="16"/>
      <c r="D41" s="13"/>
      <c r="E41" s="13"/>
      <c r="F41" s="13"/>
      <c r="G41" s="15"/>
      <c r="R41" s="5"/>
      <c r="S41" s="5"/>
      <c r="T41" s="27"/>
      <c r="U41" s="5"/>
      <c r="V41" s="5"/>
      <c r="W41" s="5"/>
    </row>
    <row r="42" spans="1:35" s="5" customFormat="1" ht="26.25" x14ac:dyDescent="0.4">
      <c r="A42" s="96" t="s">
        <v>55</v>
      </c>
      <c r="B42" s="96"/>
      <c r="C42" s="96"/>
      <c r="D42" s="96"/>
      <c r="E42" s="96"/>
      <c r="F42" s="96"/>
      <c r="G42" s="96"/>
      <c r="H42" s="96"/>
      <c r="I42" s="96"/>
      <c r="J42" s="96"/>
      <c r="K42" s="96"/>
      <c r="L42" s="96"/>
      <c r="M42" s="96"/>
      <c r="N42" s="96"/>
      <c r="O42" s="96"/>
      <c r="P42" s="97"/>
      <c r="Q42" s="97"/>
      <c r="R42" s="97"/>
      <c r="S42" s="97"/>
      <c r="T42" s="97"/>
      <c r="U42" s="97"/>
      <c r="V42" s="97"/>
      <c r="W42" s="97"/>
      <c r="X42" s="97"/>
      <c r="Y42" s="97"/>
      <c r="Z42" s="98"/>
      <c r="AA42" s="98"/>
      <c r="AB42" s="98"/>
      <c r="AC42" s="98"/>
      <c r="AD42" s="98"/>
      <c r="AE42" s="98"/>
      <c r="AF42" s="98"/>
      <c r="AG42" s="98"/>
      <c r="AH42" s="98"/>
      <c r="AI42" s="98"/>
    </row>
    <row r="43" spans="1:35" ht="18" customHeight="1" x14ac:dyDescent="0.25">
      <c r="E43" s="31" t="s">
        <v>112</v>
      </c>
      <c r="F43" s="4" t="s">
        <v>3</v>
      </c>
      <c r="G43" s="4" t="s">
        <v>3</v>
      </c>
      <c r="H43" s="4" t="s">
        <v>3</v>
      </c>
      <c r="I43" s="4" t="s">
        <v>3</v>
      </c>
      <c r="J43" s="4" t="s">
        <v>3</v>
      </c>
      <c r="K43" s="4" t="s">
        <v>3</v>
      </c>
      <c r="L43" s="4" t="s">
        <v>3</v>
      </c>
      <c r="M43" s="4" t="s">
        <v>3</v>
      </c>
      <c r="N43" s="4" t="s">
        <v>3</v>
      </c>
      <c r="O43" s="4" t="s">
        <v>3</v>
      </c>
      <c r="P43" s="4" t="s">
        <v>3</v>
      </c>
      <c r="Q43" s="4" t="s">
        <v>3</v>
      </c>
      <c r="R43" s="4" t="s">
        <v>3</v>
      </c>
      <c r="S43" s="4" t="s">
        <v>3</v>
      </c>
      <c r="T43" s="4" t="s">
        <v>3</v>
      </c>
      <c r="U43" s="4" t="s">
        <v>3</v>
      </c>
      <c r="V43" s="28" t="s">
        <v>3</v>
      </c>
      <c r="W43" s="4" t="s">
        <v>3</v>
      </c>
      <c r="X43" s="4" t="s">
        <v>3</v>
      </c>
      <c r="Y43" s="4" t="s">
        <v>3</v>
      </c>
      <c r="Z43" s="4" t="s">
        <v>3</v>
      </c>
      <c r="AA43" s="4" t="s">
        <v>3</v>
      </c>
      <c r="AB43" s="4" t="s">
        <v>3</v>
      </c>
      <c r="AC43" s="4" t="s">
        <v>3</v>
      </c>
      <c r="AD43" s="4" t="s">
        <v>3</v>
      </c>
      <c r="AE43" s="4" t="s">
        <v>3</v>
      </c>
      <c r="AF43" s="4" t="s">
        <v>3</v>
      </c>
      <c r="AG43" s="4" t="s">
        <v>3</v>
      </c>
      <c r="AH43" s="4" t="s">
        <v>3</v>
      </c>
      <c r="AI43" s="4" t="s">
        <v>3</v>
      </c>
    </row>
    <row r="44" spans="1:35" ht="18" customHeight="1" x14ac:dyDescent="0.25">
      <c r="A44" s="6" t="s">
        <v>31</v>
      </c>
      <c r="B44" s="6"/>
      <c r="C44" s="11"/>
      <c r="E44" s="38">
        <v>0</v>
      </c>
      <c r="F44" s="7">
        <v>1</v>
      </c>
      <c r="G44" s="7">
        <v>2</v>
      </c>
      <c r="H44" s="7">
        <v>3</v>
      </c>
      <c r="I44" s="7">
        <v>4</v>
      </c>
      <c r="J44" s="7">
        <v>5</v>
      </c>
      <c r="K44" s="7">
        <v>6</v>
      </c>
      <c r="L44" s="7">
        <v>7</v>
      </c>
      <c r="M44" s="7">
        <v>8</v>
      </c>
      <c r="N44" s="7">
        <v>9</v>
      </c>
      <c r="O44" s="7">
        <v>10</v>
      </c>
      <c r="P44" s="7">
        <v>11</v>
      </c>
      <c r="Q44" s="7">
        <v>12</v>
      </c>
      <c r="R44" s="7">
        <v>13</v>
      </c>
      <c r="S44" s="7">
        <v>14</v>
      </c>
      <c r="T44" s="7">
        <v>15</v>
      </c>
      <c r="U44" s="7">
        <v>16</v>
      </c>
      <c r="V44" s="29">
        <v>17</v>
      </c>
      <c r="W44" s="7">
        <v>18</v>
      </c>
      <c r="X44" s="7">
        <v>19</v>
      </c>
      <c r="Y44" s="7">
        <v>20</v>
      </c>
      <c r="Z44" s="7">
        <v>21</v>
      </c>
      <c r="AA44" s="7">
        <v>22</v>
      </c>
      <c r="AB44" s="7">
        <v>23</v>
      </c>
      <c r="AC44" s="7">
        <v>24</v>
      </c>
      <c r="AD44" s="7">
        <v>25</v>
      </c>
      <c r="AE44" s="7">
        <v>26</v>
      </c>
      <c r="AF44" s="7">
        <v>27</v>
      </c>
      <c r="AG44" s="7">
        <v>28</v>
      </c>
      <c r="AH44" s="7">
        <v>29</v>
      </c>
      <c r="AI44" s="7">
        <v>30</v>
      </c>
    </row>
    <row r="45" spans="1:35" ht="18" customHeight="1" x14ac:dyDescent="0.2">
      <c r="A45" s="86" t="s">
        <v>13</v>
      </c>
      <c r="B45" s="87"/>
      <c r="C45" s="88"/>
      <c r="D45" s="88"/>
      <c r="E45" s="88"/>
      <c r="F45" s="89">
        <f>B11*8760*CapacityFactor/1000</f>
        <v>1165080</v>
      </c>
      <c r="G45" s="89">
        <f t="shared" ref="G45:AI45" si="1">IF(G44&lt;=projectlife,F45*(1-Degredation),0)</f>
        <v>1159254.6000000001</v>
      </c>
      <c r="H45" s="89">
        <f t="shared" si="1"/>
        <v>1153458.327</v>
      </c>
      <c r="I45" s="89">
        <f t="shared" si="1"/>
        <v>1147691.0353650001</v>
      </c>
      <c r="J45" s="89">
        <f t="shared" si="1"/>
        <v>1141952.5801881752</v>
      </c>
      <c r="K45" s="89">
        <f t="shared" si="1"/>
        <v>1136242.8172872344</v>
      </c>
      <c r="L45" s="89">
        <f t="shared" si="1"/>
        <v>1130561.6032007982</v>
      </c>
      <c r="M45" s="89">
        <f t="shared" si="1"/>
        <v>1124908.7951847941</v>
      </c>
      <c r="N45" s="89">
        <f t="shared" si="1"/>
        <v>1119284.2512088702</v>
      </c>
      <c r="O45" s="89">
        <f t="shared" si="1"/>
        <v>1113687.8299528258</v>
      </c>
      <c r="P45" s="89">
        <f t="shared" si="1"/>
        <v>1108119.3908030617</v>
      </c>
      <c r="Q45" s="89">
        <f t="shared" si="1"/>
        <v>1102578.7938490463</v>
      </c>
      <c r="R45" s="89">
        <f t="shared" si="1"/>
        <v>1097065.8998798011</v>
      </c>
      <c r="S45" s="89">
        <f t="shared" si="1"/>
        <v>1091580.570380402</v>
      </c>
      <c r="T45" s="89">
        <f t="shared" si="1"/>
        <v>1086122.6675285001</v>
      </c>
      <c r="U45" s="89">
        <f t="shared" si="1"/>
        <v>1080692.0541908576</v>
      </c>
      <c r="V45" s="89">
        <f t="shared" si="1"/>
        <v>1075288.5939199033</v>
      </c>
      <c r="W45" s="89">
        <f t="shared" si="1"/>
        <v>1069912.1509503038</v>
      </c>
      <c r="X45" s="89">
        <f t="shared" si="1"/>
        <v>1064562.5901955522</v>
      </c>
      <c r="Y45" s="89">
        <f t="shared" si="1"/>
        <v>1059239.7772445744</v>
      </c>
      <c r="Z45" s="89">
        <f t="shared" si="1"/>
        <v>1053943.5783583515</v>
      </c>
      <c r="AA45" s="89">
        <f t="shared" si="1"/>
        <v>1048673.8604665597</v>
      </c>
      <c r="AB45" s="89">
        <f t="shared" si="1"/>
        <v>1043430.4911642269</v>
      </c>
      <c r="AC45" s="89">
        <f t="shared" si="1"/>
        <v>1038213.3387084057</v>
      </c>
      <c r="AD45" s="89">
        <f t="shared" si="1"/>
        <v>1033022.2720148637</v>
      </c>
      <c r="AE45" s="89">
        <f t="shared" si="1"/>
        <v>0</v>
      </c>
      <c r="AF45" s="89">
        <f t="shared" si="1"/>
        <v>0</v>
      </c>
      <c r="AG45" s="89">
        <f t="shared" si="1"/>
        <v>0</v>
      </c>
      <c r="AH45" s="89">
        <f t="shared" si="1"/>
        <v>0</v>
      </c>
      <c r="AI45" s="90">
        <f t="shared" si="1"/>
        <v>0</v>
      </c>
    </row>
    <row r="46" spans="1:35" ht="18" customHeight="1" x14ac:dyDescent="0.2">
      <c r="A46" s="2" t="s">
        <v>137</v>
      </c>
      <c r="B46" s="160"/>
      <c r="C46" s="10"/>
      <c r="E46" s="159">
        <f t="shared" ref="E46:AI46" si="2">IF($B$16=0,1,IF(E$44&lt;=$B$16,1,0))</f>
        <v>1</v>
      </c>
      <c r="F46" s="159">
        <f t="shared" si="2"/>
        <v>1</v>
      </c>
      <c r="G46" s="159">
        <f t="shared" si="2"/>
        <v>1</v>
      </c>
      <c r="H46" s="159">
        <f t="shared" si="2"/>
        <v>1</v>
      </c>
      <c r="I46" s="159">
        <f t="shared" si="2"/>
        <v>1</v>
      </c>
      <c r="J46" s="159">
        <f t="shared" si="2"/>
        <v>1</v>
      </c>
      <c r="K46" s="159">
        <f t="shared" si="2"/>
        <v>1</v>
      </c>
      <c r="L46" s="159">
        <f t="shared" si="2"/>
        <v>1</v>
      </c>
      <c r="M46" s="159">
        <f t="shared" si="2"/>
        <v>1</v>
      </c>
      <c r="N46" s="159">
        <f t="shared" si="2"/>
        <v>1</v>
      </c>
      <c r="O46" s="159">
        <f t="shared" si="2"/>
        <v>1</v>
      </c>
      <c r="P46" s="159">
        <f t="shared" si="2"/>
        <v>1</v>
      </c>
      <c r="Q46" s="159">
        <f t="shared" si="2"/>
        <v>1</v>
      </c>
      <c r="R46" s="159">
        <f t="shared" si="2"/>
        <v>1</v>
      </c>
      <c r="S46" s="159">
        <f t="shared" si="2"/>
        <v>1</v>
      </c>
      <c r="T46" s="159">
        <f t="shared" si="2"/>
        <v>1</v>
      </c>
      <c r="U46" s="159">
        <f t="shared" si="2"/>
        <v>1</v>
      </c>
      <c r="V46" s="159">
        <f t="shared" si="2"/>
        <v>1</v>
      </c>
      <c r="W46" s="159">
        <f t="shared" si="2"/>
        <v>1</v>
      </c>
      <c r="X46" s="159">
        <f t="shared" si="2"/>
        <v>1</v>
      </c>
      <c r="Y46" s="159">
        <f t="shared" si="2"/>
        <v>1</v>
      </c>
      <c r="Z46" s="159">
        <f t="shared" si="2"/>
        <v>1</v>
      </c>
      <c r="AA46" s="159">
        <f t="shared" si="2"/>
        <v>1</v>
      </c>
      <c r="AB46" s="159">
        <f t="shared" si="2"/>
        <v>1</v>
      </c>
      <c r="AC46" s="159">
        <f t="shared" si="2"/>
        <v>1</v>
      </c>
      <c r="AD46" s="159">
        <f t="shared" si="2"/>
        <v>1</v>
      </c>
      <c r="AE46" s="159">
        <f t="shared" si="2"/>
        <v>1</v>
      </c>
      <c r="AF46" s="159">
        <f t="shared" si="2"/>
        <v>1</v>
      </c>
      <c r="AG46" s="159">
        <f t="shared" si="2"/>
        <v>1</v>
      </c>
      <c r="AH46" s="159">
        <f t="shared" si="2"/>
        <v>1</v>
      </c>
      <c r="AI46" s="159">
        <f t="shared" si="2"/>
        <v>1</v>
      </c>
    </row>
    <row r="47" spans="1:35" ht="18" customHeight="1" x14ac:dyDescent="0.2">
      <c r="A47" s="2" t="s">
        <v>136</v>
      </c>
      <c r="C47" s="10"/>
      <c r="E47" s="159">
        <f>IF(E46=1,0,1)</f>
        <v>0</v>
      </c>
      <c r="F47" s="159">
        <f t="shared" ref="F47:AI47" si="3">IF(F46=1,0,1)</f>
        <v>0</v>
      </c>
      <c r="G47" s="159">
        <f t="shared" si="3"/>
        <v>0</v>
      </c>
      <c r="H47" s="159">
        <f t="shared" si="3"/>
        <v>0</v>
      </c>
      <c r="I47" s="159">
        <f t="shared" si="3"/>
        <v>0</v>
      </c>
      <c r="J47" s="159">
        <f t="shared" si="3"/>
        <v>0</v>
      </c>
      <c r="K47" s="159">
        <f t="shared" si="3"/>
        <v>0</v>
      </c>
      <c r="L47" s="159">
        <f t="shared" si="3"/>
        <v>0</v>
      </c>
      <c r="M47" s="159">
        <f t="shared" si="3"/>
        <v>0</v>
      </c>
      <c r="N47" s="159">
        <f t="shared" si="3"/>
        <v>0</v>
      </c>
      <c r="O47" s="159">
        <f t="shared" si="3"/>
        <v>0</v>
      </c>
      <c r="P47" s="159">
        <f t="shared" si="3"/>
        <v>0</v>
      </c>
      <c r="Q47" s="159">
        <f t="shared" si="3"/>
        <v>0</v>
      </c>
      <c r="R47" s="159">
        <f t="shared" si="3"/>
        <v>0</v>
      </c>
      <c r="S47" s="159">
        <f t="shared" si="3"/>
        <v>0</v>
      </c>
      <c r="T47" s="159">
        <f t="shared" si="3"/>
        <v>0</v>
      </c>
      <c r="U47" s="159">
        <f t="shared" si="3"/>
        <v>0</v>
      </c>
      <c r="V47" s="159">
        <f t="shared" si="3"/>
        <v>0</v>
      </c>
      <c r="W47" s="159">
        <f t="shared" si="3"/>
        <v>0</v>
      </c>
      <c r="X47" s="159">
        <f t="shared" si="3"/>
        <v>0</v>
      </c>
      <c r="Y47" s="159">
        <f t="shared" si="3"/>
        <v>0</v>
      </c>
      <c r="Z47" s="159">
        <f t="shared" si="3"/>
        <v>0</v>
      </c>
      <c r="AA47" s="159">
        <f t="shared" si="3"/>
        <v>0</v>
      </c>
      <c r="AB47" s="159">
        <f t="shared" si="3"/>
        <v>0</v>
      </c>
      <c r="AC47" s="159">
        <f t="shared" si="3"/>
        <v>0</v>
      </c>
      <c r="AD47" s="159">
        <f t="shared" si="3"/>
        <v>0</v>
      </c>
      <c r="AE47" s="159">
        <f t="shared" si="3"/>
        <v>0</v>
      </c>
      <c r="AF47" s="159">
        <f t="shared" si="3"/>
        <v>0</v>
      </c>
      <c r="AG47" s="159">
        <f t="shared" si="3"/>
        <v>0</v>
      </c>
      <c r="AH47" s="159">
        <f t="shared" si="3"/>
        <v>0</v>
      </c>
      <c r="AI47" s="159">
        <f t="shared" si="3"/>
        <v>0</v>
      </c>
    </row>
    <row r="48" spans="1:35" ht="21.75" customHeight="1" x14ac:dyDescent="0.3">
      <c r="A48" s="43" t="s">
        <v>68</v>
      </c>
      <c r="B48" s="43"/>
      <c r="C48" s="44"/>
      <c r="D48" s="44"/>
      <c r="E48" s="44"/>
      <c r="F48" s="48"/>
      <c r="G48" s="49"/>
      <c r="H48" s="49"/>
      <c r="I48" s="49"/>
      <c r="J48" s="49"/>
      <c r="K48" s="49"/>
      <c r="L48" s="49"/>
      <c r="M48" s="49"/>
      <c r="N48" s="49"/>
      <c r="O48" s="49"/>
      <c r="P48" s="49"/>
      <c r="Q48" s="49"/>
      <c r="R48" s="49"/>
      <c r="S48" s="49"/>
      <c r="T48" s="49"/>
      <c r="U48" s="49"/>
      <c r="V48" s="50"/>
      <c r="W48" s="49"/>
      <c r="X48" s="49"/>
      <c r="Y48" s="49"/>
      <c r="Z48" s="49"/>
      <c r="AA48" s="49"/>
      <c r="AB48" s="49"/>
      <c r="AC48" s="49"/>
      <c r="AD48" s="49"/>
      <c r="AE48" s="49"/>
      <c r="AF48" s="49"/>
      <c r="AG48" s="49"/>
      <c r="AH48" s="49"/>
      <c r="AI48" s="49"/>
    </row>
    <row r="49" spans="1:35" ht="18" customHeight="1" x14ac:dyDescent="0.25">
      <c r="A49" s="41" t="s">
        <v>52</v>
      </c>
      <c r="B49" s="41"/>
      <c r="C49" s="10"/>
      <c r="E49" s="10"/>
      <c r="F49" s="54"/>
      <c r="G49" s="19"/>
      <c r="H49" s="19"/>
      <c r="I49" s="19"/>
      <c r="J49" s="19"/>
      <c r="K49" s="19"/>
      <c r="L49" s="19"/>
      <c r="M49" s="19"/>
      <c r="N49" s="19"/>
      <c r="O49" s="19"/>
      <c r="P49" s="19"/>
      <c r="Q49" s="19"/>
      <c r="R49" s="19"/>
      <c r="S49" s="19"/>
      <c r="T49" s="19"/>
      <c r="U49" s="19"/>
      <c r="V49" s="9"/>
      <c r="W49" s="19"/>
      <c r="X49" s="19"/>
      <c r="Y49" s="19"/>
      <c r="Z49" s="19"/>
      <c r="AA49" s="19"/>
      <c r="AB49" s="19"/>
      <c r="AC49" s="19"/>
      <c r="AD49" s="19"/>
      <c r="AE49" s="19"/>
      <c r="AF49" s="19"/>
      <c r="AG49" s="19"/>
      <c r="AH49" s="19"/>
      <c r="AI49" s="19"/>
    </row>
    <row r="50" spans="1:35" ht="18" customHeight="1" x14ac:dyDescent="0.2">
      <c r="A50" s="17" t="s">
        <v>111</v>
      </c>
      <c r="B50" s="17"/>
      <c r="C50" s="10"/>
      <c r="E50" s="10"/>
      <c r="F50" s="9">
        <f t="shared" ref="F50:AI50" si="4">Generation*F$46*elecRev*(1+ElecRevAdj)^E$44</f>
        <v>174762</v>
      </c>
      <c r="G50" s="9">
        <f t="shared" si="4"/>
        <v>177365.95380000002</v>
      </c>
      <c r="H50" s="9">
        <f t="shared" si="4"/>
        <v>180008.70651162002</v>
      </c>
      <c r="I50" s="9">
        <f t="shared" si="4"/>
        <v>182690.83623864315</v>
      </c>
      <c r="J50" s="9">
        <f t="shared" si="4"/>
        <v>185412.92969859895</v>
      </c>
      <c r="K50" s="9">
        <f t="shared" si="4"/>
        <v>188175.58235110808</v>
      </c>
      <c r="L50" s="9">
        <f t="shared" si="4"/>
        <v>190979.3985281396</v>
      </c>
      <c r="M50" s="9">
        <f t="shared" si="4"/>
        <v>193824.9915662088</v>
      </c>
      <c r="N50" s="9">
        <f t="shared" si="4"/>
        <v>196712.98394054535</v>
      </c>
      <c r="O50" s="9">
        <f t="shared" si="4"/>
        <v>199644.00740125947</v>
      </c>
      <c r="P50" s="9">
        <f t="shared" si="4"/>
        <v>202618.70311153823</v>
      </c>
      <c r="Q50" s="9">
        <f t="shared" si="4"/>
        <v>205637.72178790014</v>
      </c>
      <c r="R50" s="9">
        <f t="shared" si="4"/>
        <v>208701.72384253988</v>
      </c>
      <c r="S50" s="9">
        <f t="shared" si="4"/>
        <v>211811.37952779367</v>
      </c>
      <c r="T50" s="9">
        <f t="shared" si="4"/>
        <v>214967.36908275788</v>
      </c>
      <c r="U50" s="9">
        <f t="shared" si="4"/>
        <v>218170.38288209087</v>
      </c>
      <c r="V50" s="9">
        <f t="shared" si="4"/>
        <v>221421.12158703408</v>
      </c>
      <c r="W50" s="9">
        <f t="shared" si="4"/>
        <v>224720.29629868091</v>
      </c>
      <c r="X50" s="9">
        <f t="shared" si="4"/>
        <v>228068.62871353122</v>
      </c>
      <c r="Y50" s="9">
        <f t="shared" si="4"/>
        <v>231466.85128136279</v>
      </c>
      <c r="Z50" s="9">
        <f t="shared" si="4"/>
        <v>234915.70736545511</v>
      </c>
      <c r="AA50" s="9">
        <f t="shared" si="4"/>
        <v>238415.95140520038</v>
      </c>
      <c r="AB50" s="9">
        <f t="shared" si="4"/>
        <v>241968.34908113792</v>
      </c>
      <c r="AC50" s="9">
        <f t="shared" si="4"/>
        <v>245573.6774824468</v>
      </c>
      <c r="AD50" s="9">
        <f t="shared" si="4"/>
        <v>249232.72527693523</v>
      </c>
      <c r="AE50" s="9">
        <f t="shared" si="4"/>
        <v>0</v>
      </c>
      <c r="AF50" s="9">
        <f t="shared" si="4"/>
        <v>0</v>
      </c>
      <c r="AG50" s="9">
        <f t="shared" si="4"/>
        <v>0</v>
      </c>
      <c r="AH50" s="9">
        <f t="shared" si="4"/>
        <v>0</v>
      </c>
      <c r="AI50" s="9">
        <f t="shared" si="4"/>
        <v>0</v>
      </c>
    </row>
    <row r="51" spans="1:35" ht="18" customHeight="1" x14ac:dyDescent="0.2">
      <c r="A51" s="17" t="s">
        <v>124</v>
      </c>
      <c r="B51" s="17"/>
      <c r="C51" s="10"/>
      <c r="E51" s="10"/>
      <c r="F51" s="9">
        <f t="shared" ref="F51:AI51" si="5">IF($B$27&gt;=F$44,Generation*F$46*$B$26,F$50)</f>
        <v>233016</v>
      </c>
      <c r="G51" s="9">
        <f t="shared" si="5"/>
        <v>231850.92000000004</v>
      </c>
      <c r="H51" s="9">
        <f t="shared" si="5"/>
        <v>230691.66540000003</v>
      </c>
      <c r="I51" s="9">
        <f t="shared" si="5"/>
        <v>229538.20707300003</v>
      </c>
      <c r="J51" s="9">
        <f t="shared" si="5"/>
        <v>228390.51603763504</v>
      </c>
      <c r="K51" s="9">
        <f t="shared" si="5"/>
        <v>227248.56345744687</v>
      </c>
      <c r="L51" s="9">
        <f t="shared" si="5"/>
        <v>226112.32064015965</v>
      </c>
      <c r="M51" s="9">
        <f t="shared" si="5"/>
        <v>224981.75903695883</v>
      </c>
      <c r="N51" s="9">
        <f t="shared" si="5"/>
        <v>223856.85024177405</v>
      </c>
      <c r="O51" s="9">
        <f t="shared" si="5"/>
        <v>222737.56599056517</v>
      </c>
      <c r="P51" s="9">
        <f t="shared" si="5"/>
        <v>221623.87816061234</v>
      </c>
      <c r="Q51" s="9">
        <f t="shared" si="5"/>
        <v>220515.75876980927</v>
      </c>
      <c r="R51" s="9">
        <f t="shared" si="5"/>
        <v>219413.17997596023</v>
      </c>
      <c r="S51" s="9">
        <f t="shared" si="5"/>
        <v>218316.11407608041</v>
      </c>
      <c r="T51" s="9">
        <f t="shared" si="5"/>
        <v>217224.53350570003</v>
      </c>
      <c r="U51" s="9">
        <f t="shared" si="5"/>
        <v>216138.41083817152</v>
      </c>
      <c r="V51" s="9">
        <f t="shared" si="5"/>
        <v>215057.71878398067</v>
      </c>
      <c r="W51" s="9">
        <f t="shared" si="5"/>
        <v>213982.43019006075</v>
      </c>
      <c r="X51" s="9">
        <f t="shared" si="5"/>
        <v>212912.51803911047</v>
      </c>
      <c r="Y51" s="9">
        <f t="shared" si="5"/>
        <v>211847.9554489149</v>
      </c>
      <c r="Z51" s="9">
        <f t="shared" si="5"/>
        <v>234915.70736545511</v>
      </c>
      <c r="AA51" s="9">
        <f t="shared" si="5"/>
        <v>238415.95140520038</v>
      </c>
      <c r="AB51" s="9">
        <f t="shared" si="5"/>
        <v>241968.34908113792</v>
      </c>
      <c r="AC51" s="9">
        <f t="shared" si="5"/>
        <v>245573.6774824468</v>
      </c>
      <c r="AD51" s="9">
        <f t="shared" si="5"/>
        <v>249232.72527693523</v>
      </c>
      <c r="AE51" s="9">
        <f t="shared" si="5"/>
        <v>0</v>
      </c>
      <c r="AF51" s="9">
        <f t="shared" si="5"/>
        <v>0</v>
      </c>
      <c r="AG51" s="9">
        <f t="shared" si="5"/>
        <v>0</v>
      </c>
      <c r="AH51" s="9">
        <f t="shared" si="5"/>
        <v>0</v>
      </c>
      <c r="AI51" s="9">
        <f t="shared" si="5"/>
        <v>0</v>
      </c>
    </row>
    <row r="52" spans="1:35" ht="18" customHeight="1" x14ac:dyDescent="0.2">
      <c r="A52" s="18" t="s">
        <v>15</v>
      </c>
      <c r="B52" s="18"/>
      <c r="C52" s="68"/>
      <c r="E52" s="10"/>
      <c r="F52" s="10">
        <f t="shared" ref="F52:AI52" si="6">IF(F$44&gt;$B$27,$B$28*F$46*F$45/1000,0)</f>
        <v>0</v>
      </c>
      <c r="G52" s="10">
        <f t="shared" si="6"/>
        <v>0</v>
      </c>
      <c r="H52" s="10">
        <f t="shared" si="6"/>
        <v>0</v>
      </c>
      <c r="I52" s="10">
        <f t="shared" si="6"/>
        <v>0</v>
      </c>
      <c r="J52" s="10">
        <f t="shared" si="6"/>
        <v>0</v>
      </c>
      <c r="K52" s="10">
        <f t="shared" si="6"/>
        <v>0</v>
      </c>
      <c r="L52" s="10">
        <f t="shared" si="6"/>
        <v>0</v>
      </c>
      <c r="M52" s="10">
        <f t="shared" si="6"/>
        <v>0</v>
      </c>
      <c r="N52" s="10">
        <f t="shared" si="6"/>
        <v>0</v>
      </c>
      <c r="O52" s="10">
        <f t="shared" si="6"/>
        <v>0</v>
      </c>
      <c r="P52" s="10">
        <f t="shared" si="6"/>
        <v>0</v>
      </c>
      <c r="Q52" s="10">
        <f t="shared" si="6"/>
        <v>0</v>
      </c>
      <c r="R52" s="10">
        <f t="shared" si="6"/>
        <v>0</v>
      </c>
      <c r="S52" s="10">
        <f t="shared" si="6"/>
        <v>0</v>
      </c>
      <c r="T52" s="10">
        <f t="shared" si="6"/>
        <v>0</v>
      </c>
      <c r="U52" s="10">
        <f t="shared" si="6"/>
        <v>0</v>
      </c>
      <c r="V52" s="10">
        <f t="shared" si="6"/>
        <v>0</v>
      </c>
      <c r="W52" s="10">
        <f t="shared" si="6"/>
        <v>0</v>
      </c>
      <c r="X52" s="10">
        <f t="shared" si="6"/>
        <v>0</v>
      </c>
      <c r="Y52" s="10">
        <f t="shared" si="6"/>
        <v>0</v>
      </c>
      <c r="Z52" s="10">
        <f t="shared" si="6"/>
        <v>26348.589458958784</v>
      </c>
      <c r="AA52" s="10">
        <f t="shared" si="6"/>
        <v>26216.846511663993</v>
      </c>
      <c r="AB52" s="10">
        <f t="shared" si="6"/>
        <v>26085.762279105671</v>
      </c>
      <c r="AC52" s="10">
        <f t="shared" si="6"/>
        <v>25955.333467710145</v>
      </c>
      <c r="AD52" s="10">
        <f t="shared" si="6"/>
        <v>25825.556800371593</v>
      </c>
      <c r="AE52" s="10">
        <f t="shared" si="6"/>
        <v>0</v>
      </c>
      <c r="AF52" s="10">
        <f t="shared" si="6"/>
        <v>0</v>
      </c>
      <c r="AG52" s="10">
        <f t="shared" si="6"/>
        <v>0</v>
      </c>
      <c r="AH52" s="10">
        <f t="shared" si="6"/>
        <v>0</v>
      </c>
      <c r="AI52" s="10">
        <f t="shared" si="6"/>
        <v>0</v>
      </c>
    </row>
    <row r="53" spans="1:35" ht="18" customHeight="1" x14ac:dyDescent="0.2">
      <c r="A53" s="17" t="s">
        <v>97</v>
      </c>
      <c r="B53" s="17"/>
      <c r="C53" s="10"/>
      <c r="E53" s="10"/>
      <c r="F53" s="9">
        <f t="shared" ref="F53:AI53" si="7">-($B$36*F50)*F$46</f>
        <v>-43690.5</v>
      </c>
      <c r="G53" s="9">
        <f t="shared" si="7"/>
        <v>-44341.488450000004</v>
      </c>
      <c r="H53" s="9">
        <f t="shared" si="7"/>
        <v>-45002.176627905006</v>
      </c>
      <c r="I53" s="9">
        <f t="shared" si="7"/>
        <v>-45672.709059660789</v>
      </c>
      <c r="J53" s="9">
        <f t="shared" si="7"/>
        <v>-46353.232424649737</v>
      </c>
      <c r="K53" s="9">
        <f t="shared" si="7"/>
        <v>-47043.89558777702</v>
      </c>
      <c r="L53" s="9">
        <f t="shared" si="7"/>
        <v>-47744.8496320349</v>
      </c>
      <c r="M53" s="9">
        <f t="shared" si="7"/>
        <v>-48456.247891552201</v>
      </c>
      <c r="N53" s="9">
        <f t="shared" si="7"/>
        <v>-49178.245985136338</v>
      </c>
      <c r="O53" s="9">
        <f t="shared" si="7"/>
        <v>-49911.001850314868</v>
      </c>
      <c r="P53" s="9">
        <f t="shared" si="7"/>
        <v>-50654.675777884557</v>
      </c>
      <c r="Q53" s="9">
        <f t="shared" si="7"/>
        <v>-51409.430446975035</v>
      </c>
      <c r="R53" s="9">
        <f t="shared" si="7"/>
        <v>-52175.430960634971</v>
      </c>
      <c r="S53" s="9">
        <f t="shared" si="7"/>
        <v>-52952.844881948418</v>
      </c>
      <c r="T53" s="9">
        <f t="shared" si="7"/>
        <v>-53741.842270689471</v>
      </c>
      <c r="U53" s="9">
        <f t="shared" si="7"/>
        <v>-54542.595720522717</v>
      </c>
      <c r="V53" s="9">
        <f t="shared" si="7"/>
        <v>-55355.280396758521</v>
      </c>
      <c r="W53" s="9">
        <f t="shared" si="7"/>
        <v>-56180.074074670229</v>
      </c>
      <c r="X53" s="9">
        <f t="shared" si="7"/>
        <v>-57017.157178382804</v>
      </c>
      <c r="Y53" s="9">
        <f t="shared" si="7"/>
        <v>-57866.712820340697</v>
      </c>
      <c r="Z53" s="9">
        <f t="shared" si="7"/>
        <v>-58728.926841363776</v>
      </c>
      <c r="AA53" s="9">
        <f t="shared" si="7"/>
        <v>-59603.987851300095</v>
      </c>
      <c r="AB53" s="9">
        <f t="shared" si="7"/>
        <v>-60492.087270284479</v>
      </c>
      <c r="AC53" s="9">
        <f t="shared" si="7"/>
        <v>-61393.4193706117</v>
      </c>
      <c r="AD53" s="9">
        <f t="shared" si="7"/>
        <v>-62308.181319233809</v>
      </c>
      <c r="AE53" s="9">
        <f t="shared" si="7"/>
        <v>0</v>
      </c>
      <c r="AF53" s="9">
        <f t="shared" si="7"/>
        <v>0</v>
      </c>
      <c r="AG53" s="9">
        <f t="shared" si="7"/>
        <v>0</v>
      </c>
      <c r="AH53" s="9">
        <f t="shared" si="7"/>
        <v>0</v>
      </c>
      <c r="AI53" s="9">
        <f t="shared" si="7"/>
        <v>0</v>
      </c>
    </row>
    <row r="54" spans="1:35" ht="18" customHeight="1" x14ac:dyDescent="0.2">
      <c r="A54" s="2" t="s">
        <v>108</v>
      </c>
      <c r="B54" s="17"/>
      <c r="C54" s="10"/>
      <c r="E54" s="9"/>
      <c r="F54" s="9">
        <f t="shared" ref="F54:AI54" si="8">IF(F$44&lt;=projectlife,-$B$38*F$46,0)</f>
        <v>-10000</v>
      </c>
      <c r="G54" s="9">
        <f t="shared" si="8"/>
        <v>-10000</v>
      </c>
      <c r="H54" s="9">
        <f t="shared" si="8"/>
        <v>-10000</v>
      </c>
      <c r="I54" s="9">
        <f t="shared" si="8"/>
        <v>-10000</v>
      </c>
      <c r="J54" s="9">
        <f t="shared" si="8"/>
        <v>-10000</v>
      </c>
      <c r="K54" s="9">
        <f t="shared" si="8"/>
        <v>-10000</v>
      </c>
      <c r="L54" s="9">
        <f t="shared" si="8"/>
        <v>-10000</v>
      </c>
      <c r="M54" s="9">
        <f t="shared" si="8"/>
        <v>-10000</v>
      </c>
      <c r="N54" s="9">
        <f t="shared" si="8"/>
        <v>-10000</v>
      </c>
      <c r="O54" s="9">
        <f t="shared" si="8"/>
        <v>-10000</v>
      </c>
      <c r="P54" s="9">
        <f t="shared" si="8"/>
        <v>-10000</v>
      </c>
      <c r="Q54" s="9">
        <f t="shared" si="8"/>
        <v>-10000</v>
      </c>
      <c r="R54" s="9">
        <f t="shared" si="8"/>
        <v>-10000</v>
      </c>
      <c r="S54" s="9">
        <f t="shared" si="8"/>
        <v>-10000</v>
      </c>
      <c r="T54" s="9">
        <f t="shared" si="8"/>
        <v>-10000</v>
      </c>
      <c r="U54" s="9">
        <f t="shared" si="8"/>
        <v>-10000</v>
      </c>
      <c r="V54" s="9">
        <f t="shared" si="8"/>
        <v>-10000</v>
      </c>
      <c r="W54" s="9">
        <f t="shared" si="8"/>
        <v>-10000</v>
      </c>
      <c r="X54" s="9">
        <f t="shared" si="8"/>
        <v>-10000</v>
      </c>
      <c r="Y54" s="9">
        <f t="shared" si="8"/>
        <v>-10000</v>
      </c>
      <c r="Z54" s="9">
        <f t="shared" si="8"/>
        <v>-10000</v>
      </c>
      <c r="AA54" s="9">
        <f t="shared" si="8"/>
        <v>-10000</v>
      </c>
      <c r="AB54" s="9">
        <f t="shared" si="8"/>
        <v>-10000</v>
      </c>
      <c r="AC54" s="9">
        <f t="shared" si="8"/>
        <v>-10000</v>
      </c>
      <c r="AD54" s="9">
        <f t="shared" si="8"/>
        <v>-10000</v>
      </c>
      <c r="AE54" s="9">
        <f t="shared" si="8"/>
        <v>0</v>
      </c>
      <c r="AF54" s="9">
        <f t="shared" si="8"/>
        <v>0</v>
      </c>
      <c r="AG54" s="9">
        <f t="shared" si="8"/>
        <v>0</v>
      </c>
      <c r="AH54" s="9">
        <f t="shared" si="8"/>
        <v>0</v>
      </c>
      <c r="AI54" s="9">
        <f t="shared" si="8"/>
        <v>0</v>
      </c>
    </row>
    <row r="55" spans="1:35" ht="18" customHeight="1" x14ac:dyDescent="0.2">
      <c r="A55" s="37" t="s">
        <v>98</v>
      </c>
      <c r="B55" s="37"/>
      <c r="C55" s="10"/>
      <c r="E55" s="10">
        <f t="shared" ref="E55:AI55" si="9">SUM(E51:E54)</f>
        <v>0</v>
      </c>
      <c r="F55" s="10">
        <f t="shared" si="9"/>
        <v>179325.5</v>
      </c>
      <c r="G55" s="10">
        <f t="shared" si="9"/>
        <v>177509.43155000004</v>
      </c>
      <c r="H55" s="10">
        <f t="shared" si="9"/>
        <v>175689.48877209501</v>
      </c>
      <c r="I55" s="10">
        <f t="shared" si="9"/>
        <v>173865.49801333924</v>
      </c>
      <c r="J55" s="10">
        <f t="shared" si="9"/>
        <v>172037.28361298531</v>
      </c>
      <c r="K55" s="10">
        <f t="shared" si="9"/>
        <v>170204.66786966985</v>
      </c>
      <c r="L55" s="10">
        <f t="shared" si="9"/>
        <v>168367.47100812476</v>
      </c>
      <c r="M55" s="10">
        <f t="shared" si="9"/>
        <v>166525.51114540664</v>
      </c>
      <c r="N55" s="10">
        <f t="shared" si="9"/>
        <v>164678.60425663771</v>
      </c>
      <c r="O55" s="10">
        <f t="shared" si="9"/>
        <v>162826.5641402503</v>
      </c>
      <c r="P55" s="10">
        <f t="shared" si="9"/>
        <v>160969.20238272779</v>
      </c>
      <c r="Q55" s="10">
        <f t="shared" si="9"/>
        <v>159106.32832283422</v>
      </c>
      <c r="R55" s="10">
        <f t="shared" si="9"/>
        <v>157237.74901532527</v>
      </c>
      <c r="S55" s="10">
        <f t="shared" si="9"/>
        <v>155363.26919413201</v>
      </c>
      <c r="T55" s="10">
        <f t="shared" si="9"/>
        <v>153482.69123501057</v>
      </c>
      <c r="U55" s="10">
        <f t="shared" si="9"/>
        <v>151595.8151176488</v>
      </c>
      <c r="V55" s="10">
        <f t="shared" si="9"/>
        <v>149702.43838722215</v>
      </c>
      <c r="W55" s="10">
        <f t="shared" si="9"/>
        <v>147802.35611539052</v>
      </c>
      <c r="X55" s="10">
        <f t="shared" si="9"/>
        <v>145895.36086072767</v>
      </c>
      <c r="Y55" s="10">
        <f t="shared" si="9"/>
        <v>143981.2426285742</v>
      </c>
      <c r="Z55" s="10">
        <f t="shared" si="9"/>
        <v>192535.3699830501</v>
      </c>
      <c r="AA55" s="10">
        <f t="shared" si="9"/>
        <v>195028.81006556429</v>
      </c>
      <c r="AB55" s="10">
        <f t="shared" si="9"/>
        <v>197562.0240899591</v>
      </c>
      <c r="AC55" s="10">
        <f t="shared" si="9"/>
        <v>200135.59157954526</v>
      </c>
      <c r="AD55" s="10">
        <f t="shared" si="9"/>
        <v>202750.10075807301</v>
      </c>
      <c r="AE55" s="10">
        <f t="shared" si="9"/>
        <v>0</v>
      </c>
      <c r="AF55" s="10">
        <f t="shared" si="9"/>
        <v>0</v>
      </c>
      <c r="AG55" s="10">
        <f t="shared" si="9"/>
        <v>0</v>
      </c>
      <c r="AH55" s="10">
        <f t="shared" si="9"/>
        <v>0</v>
      </c>
      <c r="AI55" s="10">
        <f t="shared" si="9"/>
        <v>0</v>
      </c>
    </row>
    <row r="56" spans="1:35" ht="18" customHeight="1" x14ac:dyDescent="0.2">
      <c r="A56" s="17" t="s">
        <v>32</v>
      </c>
      <c r="B56" s="17"/>
      <c r="C56" s="10"/>
      <c r="E56" s="10"/>
      <c r="F56" s="10">
        <f t="shared" ref="F56:AI56" si="10">IF(ProjectYear&lt;=projectlife,-OpCost_Yr*F$46*(1+OpCostAdj_Yr)^(ProjectYear-1),0)</f>
        <v>-10000</v>
      </c>
      <c r="G56" s="10">
        <f t="shared" si="10"/>
        <v>-10250</v>
      </c>
      <c r="H56" s="10">
        <f t="shared" si="10"/>
        <v>-10506.25</v>
      </c>
      <c r="I56" s="10">
        <f t="shared" si="10"/>
        <v>-10768.906249999998</v>
      </c>
      <c r="J56" s="10">
        <f t="shared" si="10"/>
        <v>-11038.128906249998</v>
      </c>
      <c r="K56" s="10">
        <f t="shared" si="10"/>
        <v>-11314.082128906246</v>
      </c>
      <c r="L56" s="10">
        <f t="shared" si="10"/>
        <v>-11596.934182128902</v>
      </c>
      <c r="M56" s="10">
        <f t="shared" si="10"/>
        <v>-11886.857536682124</v>
      </c>
      <c r="N56" s="10">
        <f t="shared" si="10"/>
        <v>-12184.028975099178</v>
      </c>
      <c r="O56" s="10">
        <f t="shared" si="10"/>
        <v>-12488.629699476654</v>
      </c>
      <c r="P56" s="10">
        <f t="shared" si="10"/>
        <v>-12800.845441963571</v>
      </c>
      <c r="Q56" s="10">
        <f t="shared" si="10"/>
        <v>-13120.866578012659</v>
      </c>
      <c r="R56" s="10">
        <f t="shared" si="10"/>
        <v>-13448.888242462976</v>
      </c>
      <c r="S56" s="10">
        <f t="shared" si="10"/>
        <v>-13785.110448524549</v>
      </c>
      <c r="T56" s="10">
        <f t="shared" si="10"/>
        <v>-14129.738209737661</v>
      </c>
      <c r="U56" s="10">
        <f t="shared" si="10"/>
        <v>-14482.981664981105</v>
      </c>
      <c r="V56" s="10">
        <f t="shared" si="10"/>
        <v>-14845.056206605632</v>
      </c>
      <c r="W56" s="10">
        <f t="shared" si="10"/>
        <v>-15216.18261177077</v>
      </c>
      <c r="X56" s="10">
        <f t="shared" si="10"/>
        <v>-15596.587177065039</v>
      </c>
      <c r="Y56" s="10">
        <f t="shared" si="10"/>
        <v>-15986.501856491666</v>
      </c>
      <c r="Z56" s="10">
        <f t="shared" si="10"/>
        <v>-16386.164402903956</v>
      </c>
      <c r="AA56" s="10">
        <f t="shared" si="10"/>
        <v>-16795.818512976552</v>
      </c>
      <c r="AB56" s="10">
        <f t="shared" si="10"/>
        <v>-17215.713975800965</v>
      </c>
      <c r="AC56" s="10">
        <f t="shared" si="10"/>
        <v>-17646.106825195991</v>
      </c>
      <c r="AD56" s="10">
        <f t="shared" si="10"/>
        <v>-18087.259495825889</v>
      </c>
      <c r="AE56" s="10">
        <f t="shared" si="10"/>
        <v>0</v>
      </c>
      <c r="AF56" s="10">
        <f t="shared" si="10"/>
        <v>0</v>
      </c>
      <c r="AG56" s="10">
        <f t="shared" si="10"/>
        <v>0</v>
      </c>
      <c r="AH56" s="10">
        <f t="shared" si="10"/>
        <v>0</v>
      </c>
      <c r="AI56" s="10">
        <f t="shared" si="10"/>
        <v>0</v>
      </c>
    </row>
    <row r="57" spans="1:35" ht="18" customHeight="1" x14ac:dyDescent="0.2">
      <c r="A57" s="18" t="s">
        <v>30</v>
      </c>
      <c r="B57" s="18"/>
      <c r="C57" s="10"/>
      <c r="E57" s="10"/>
      <c r="F57" s="10">
        <f t="shared" ref="F57:AI57" si="11">IF(ProjectYear&lt;=projectlife,IF(F$44/ReplaceInverterYear=ROUND(F$44/ReplaceInverterYear,0),-InverterReplaceCost*SystemSize*F$46,0),0)</f>
        <v>0</v>
      </c>
      <c r="G57" s="10">
        <f t="shared" si="11"/>
        <v>0</v>
      </c>
      <c r="H57" s="10">
        <f t="shared" si="11"/>
        <v>0</v>
      </c>
      <c r="I57" s="10">
        <f t="shared" si="11"/>
        <v>0</v>
      </c>
      <c r="J57" s="10">
        <f t="shared" si="11"/>
        <v>0</v>
      </c>
      <c r="K57" s="10">
        <f t="shared" si="11"/>
        <v>0</v>
      </c>
      <c r="L57" s="10">
        <f t="shared" si="11"/>
        <v>0</v>
      </c>
      <c r="M57" s="10">
        <f t="shared" si="11"/>
        <v>0</v>
      </c>
      <c r="N57" s="10">
        <f t="shared" si="11"/>
        <v>0</v>
      </c>
      <c r="O57" s="10">
        <f t="shared" si="11"/>
        <v>-70000</v>
      </c>
      <c r="P57" s="10">
        <f t="shared" si="11"/>
        <v>0</v>
      </c>
      <c r="Q57" s="10">
        <f t="shared" si="11"/>
        <v>0</v>
      </c>
      <c r="R57" s="10">
        <f t="shared" si="11"/>
        <v>0</v>
      </c>
      <c r="S57" s="10">
        <f t="shared" si="11"/>
        <v>0</v>
      </c>
      <c r="T57" s="10">
        <f t="shared" si="11"/>
        <v>0</v>
      </c>
      <c r="U57" s="10">
        <f t="shared" si="11"/>
        <v>0</v>
      </c>
      <c r="V57" s="10">
        <f t="shared" si="11"/>
        <v>0</v>
      </c>
      <c r="W57" s="10">
        <f t="shared" si="11"/>
        <v>0</v>
      </c>
      <c r="X57" s="10">
        <f t="shared" si="11"/>
        <v>0</v>
      </c>
      <c r="Y57" s="10">
        <f t="shared" si="11"/>
        <v>-70000</v>
      </c>
      <c r="Z57" s="10">
        <f t="shared" si="11"/>
        <v>0</v>
      </c>
      <c r="AA57" s="10">
        <f t="shared" si="11"/>
        <v>0</v>
      </c>
      <c r="AB57" s="10">
        <f t="shared" si="11"/>
        <v>0</v>
      </c>
      <c r="AC57" s="10">
        <f t="shared" si="11"/>
        <v>0</v>
      </c>
      <c r="AD57" s="10">
        <f t="shared" si="11"/>
        <v>0</v>
      </c>
      <c r="AE57" s="10">
        <f t="shared" si="11"/>
        <v>0</v>
      </c>
      <c r="AF57" s="10">
        <f t="shared" si="11"/>
        <v>0</v>
      </c>
      <c r="AG57" s="10">
        <f t="shared" si="11"/>
        <v>0</v>
      </c>
      <c r="AH57" s="10">
        <f t="shared" si="11"/>
        <v>0</v>
      </c>
      <c r="AI57" s="10">
        <f t="shared" si="11"/>
        <v>0</v>
      </c>
    </row>
    <row r="58" spans="1:35" ht="18" customHeight="1" x14ac:dyDescent="0.2">
      <c r="A58" s="37" t="s">
        <v>33</v>
      </c>
      <c r="B58" s="37"/>
      <c r="C58" s="10"/>
      <c r="E58" s="10">
        <f>E56+E57</f>
        <v>0</v>
      </c>
      <c r="F58" s="10">
        <f>F56+F57</f>
        <v>-10000</v>
      </c>
      <c r="G58" s="10">
        <f t="shared" ref="G58:AI58" si="12">G56+G57</f>
        <v>-10250</v>
      </c>
      <c r="H58" s="10">
        <f t="shared" si="12"/>
        <v>-10506.25</v>
      </c>
      <c r="I58" s="10">
        <f t="shared" si="12"/>
        <v>-10768.906249999998</v>
      </c>
      <c r="J58" s="10">
        <f t="shared" si="12"/>
        <v>-11038.128906249998</v>
      </c>
      <c r="K58" s="10">
        <f t="shared" si="12"/>
        <v>-11314.082128906246</v>
      </c>
      <c r="L58" s="10">
        <f t="shared" si="12"/>
        <v>-11596.934182128902</v>
      </c>
      <c r="M58" s="10">
        <f t="shared" si="12"/>
        <v>-11886.857536682124</v>
      </c>
      <c r="N58" s="10">
        <f t="shared" si="12"/>
        <v>-12184.028975099178</v>
      </c>
      <c r="O58" s="10">
        <f t="shared" si="12"/>
        <v>-82488.62969947666</v>
      </c>
      <c r="P58" s="10">
        <f t="shared" si="12"/>
        <v>-12800.845441963571</v>
      </c>
      <c r="Q58" s="10">
        <f t="shared" si="12"/>
        <v>-13120.866578012659</v>
      </c>
      <c r="R58" s="10">
        <f t="shared" si="12"/>
        <v>-13448.888242462976</v>
      </c>
      <c r="S58" s="10">
        <f t="shared" si="12"/>
        <v>-13785.110448524549</v>
      </c>
      <c r="T58" s="10">
        <f t="shared" si="12"/>
        <v>-14129.738209737661</v>
      </c>
      <c r="U58" s="10">
        <f t="shared" si="12"/>
        <v>-14482.981664981105</v>
      </c>
      <c r="V58" s="10">
        <f t="shared" si="12"/>
        <v>-14845.056206605632</v>
      </c>
      <c r="W58" s="10">
        <f t="shared" si="12"/>
        <v>-15216.18261177077</v>
      </c>
      <c r="X58" s="10">
        <f t="shared" si="12"/>
        <v>-15596.587177065039</v>
      </c>
      <c r="Y58" s="10">
        <f t="shared" si="12"/>
        <v>-85986.501856491668</v>
      </c>
      <c r="Z58" s="10">
        <f t="shared" si="12"/>
        <v>-16386.164402903956</v>
      </c>
      <c r="AA58" s="10">
        <f t="shared" si="12"/>
        <v>-16795.818512976552</v>
      </c>
      <c r="AB58" s="10">
        <f t="shared" si="12"/>
        <v>-17215.713975800965</v>
      </c>
      <c r="AC58" s="10">
        <f t="shared" si="12"/>
        <v>-17646.106825195991</v>
      </c>
      <c r="AD58" s="10">
        <f t="shared" si="12"/>
        <v>-18087.259495825889</v>
      </c>
      <c r="AE58" s="10">
        <f t="shared" si="12"/>
        <v>0</v>
      </c>
      <c r="AF58" s="10">
        <f t="shared" si="12"/>
        <v>0</v>
      </c>
      <c r="AG58" s="10">
        <f t="shared" si="12"/>
        <v>0</v>
      </c>
      <c r="AH58" s="10">
        <f t="shared" si="12"/>
        <v>0</v>
      </c>
      <c r="AI58" s="10">
        <f t="shared" si="12"/>
        <v>0</v>
      </c>
    </row>
    <row r="59" spans="1:35" ht="18" customHeight="1" x14ac:dyDescent="0.2">
      <c r="A59" s="81" t="s">
        <v>99</v>
      </c>
      <c r="B59" s="81" t="s">
        <v>35</v>
      </c>
      <c r="C59" s="10"/>
      <c r="E59" s="10">
        <f t="shared" ref="E59:AI59" si="13">E55+E58</f>
        <v>0</v>
      </c>
      <c r="F59" s="10">
        <f t="shared" si="13"/>
        <v>169325.5</v>
      </c>
      <c r="G59" s="10">
        <f t="shared" si="13"/>
        <v>167259.43155000004</v>
      </c>
      <c r="H59" s="10">
        <f>H55+H58</f>
        <v>165183.23877209501</v>
      </c>
      <c r="I59" s="10">
        <f t="shared" si="13"/>
        <v>163096.59176333924</v>
      </c>
      <c r="J59" s="10">
        <f t="shared" si="13"/>
        <v>160999.15470673531</v>
      </c>
      <c r="K59" s="10">
        <f t="shared" si="13"/>
        <v>158890.58574076361</v>
      </c>
      <c r="L59" s="10">
        <f t="shared" si="13"/>
        <v>156770.53682599586</v>
      </c>
      <c r="M59" s="10">
        <f t="shared" si="13"/>
        <v>154638.6536087245</v>
      </c>
      <c r="N59" s="10">
        <f t="shared" si="13"/>
        <v>152494.57528153853</v>
      </c>
      <c r="O59" s="10">
        <f t="shared" si="13"/>
        <v>80337.934440773635</v>
      </c>
      <c r="P59" s="10">
        <f t="shared" si="13"/>
        <v>148168.35694076421</v>
      </c>
      <c r="Q59" s="10">
        <f t="shared" si="13"/>
        <v>145985.46174482157</v>
      </c>
      <c r="R59" s="10">
        <f t="shared" si="13"/>
        <v>143788.8607728623</v>
      </c>
      <c r="S59" s="10">
        <f t="shared" si="13"/>
        <v>141578.15874560745</v>
      </c>
      <c r="T59" s="10">
        <f t="shared" si="13"/>
        <v>139352.9530252729</v>
      </c>
      <c r="U59" s="10">
        <f t="shared" si="13"/>
        <v>137112.83345266769</v>
      </c>
      <c r="V59" s="10">
        <f t="shared" si="13"/>
        <v>134857.38218061652</v>
      </c>
      <c r="W59" s="10">
        <f t="shared" si="13"/>
        <v>132586.17350361974</v>
      </c>
      <c r="X59" s="10">
        <f t="shared" si="13"/>
        <v>130298.77368366263</v>
      </c>
      <c r="Y59" s="10">
        <f t="shared" si="13"/>
        <v>57994.740772082529</v>
      </c>
      <c r="Z59" s="10">
        <f t="shared" si="13"/>
        <v>176149.20558014614</v>
      </c>
      <c r="AA59" s="10">
        <f t="shared" si="13"/>
        <v>178232.99155258774</v>
      </c>
      <c r="AB59" s="10">
        <f t="shared" si="13"/>
        <v>180346.31011415814</v>
      </c>
      <c r="AC59" s="10">
        <f t="shared" si="13"/>
        <v>182489.48475434928</v>
      </c>
      <c r="AD59" s="10">
        <f t="shared" si="13"/>
        <v>184662.84126224712</v>
      </c>
      <c r="AE59" s="10">
        <f t="shared" si="13"/>
        <v>0</v>
      </c>
      <c r="AF59" s="10">
        <f t="shared" si="13"/>
        <v>0</v>
      </c>
      <c r="AG59" s="10">
        <f t="shared" si="13"/>
        <v>0</v>
      </c>
      <c r="AH59" s="10">
        <f t="shared" si="13"/>
        <v>0</v>
      </c>
      <c r="AI59" s="10">
        <f t="shared" si="13"/>
        <v>0</v>
      </c>
    </row>
    <row r="60" spans="1:35" s="5" customFormat="1" ht="18" customHeight="1" x14ac:dyDescent="0.2">
      <c r="A60" s="46" t="s">
        <v>56</v>
      </c>
      <c r="B60" s="46"/>
      <c r="C60" s="56"/>
      <c r="E60" s="56"/>
      <c r="F60" s="56">
        <f>IF($B$9="Non-Taxable",0,-(AssetBasis)*F$46*DEP_01)</f>
        <v>-365400</v>
      </c>
      <c r="G60" s="56">
        <f>IF($B$9="Non-Taxable",0,-(AssetBasis)*G$46*Dep_02)</f>
        <v>-584640</v>
      </c>
      <c r="H60" s="56">
        <f>IF($B$9="Non-Taxable",0,-(AssetBasis)*H$46*Dep_03)</f>
        <v>-350784</v>
      </c>
      <c r="I60" s="56">
        <f>IF($B$9="Non-Taxable",0,-(AssetBasis)*I$46*DEP_04)</f>
        <v>-210470.39999999999</v>
      </c>
      <c r="J60" s="56">
        <f>IF($B$9="Non-Taxable",0,-(AssetBasis)*J$46*DEP_05)</f>
        <v>-210470.39999999999</v>
      </c>
      <c r="K60" s="56">
        <f>IF($B$9="Non-Taxable",0,-(AssetBasis)*K$46*DEP_06)</f>
        <v>-105235.2</v>
      </c>
      <c r="L60" s="56">
        <f>IF($B$9="Non-Taxable",0,-(AssetBasis)*L$46*DEP_07)</f>
        <v>0</v>
      </c>
      <c r="M60" s="56">
        <f>IF($B$9="Non-Taxable",0,-(AssetBasis)*M$46*DEP_08)</f>
        <v>0</v>
      </c>
      <c r="N60" s="56">
        <f>IF($B$9="Non-Taxable",0,-(AssetBasis)*N$46*DEP_09)</f>
        <v>0</v>
      </c>
      <c r="O60" s="56">
        <f>IF($B$9="Non-Taxable",0,-(AssetBasis)*O$46*DEP_10)</f>
        <v>0</v>
      </c>
      <c r="P60" s="56">
        <f>IF($B$9="Non-Taxable",0,-(AssetBasis)*P$46*DEP_11)</f>
        <v>0</v>
      </c>
      <c r="Q60" s="56">
        <f>IF($B$9="Non-Taxable",0,-(AssetBasis)*Q$46*DEP_12)</f>
        <v>0</v>
      </c>
      <c r="R60" s="56">
        <f>IF($B$9="Non-Taxable",0,-(AssetBasis)*R$46*DEP_13)</f>
        <v>0</v>
      </c>
      <c r="S60" s="56">
        <f>IF($B$9="Non-Taxable",0,-(AssetBasis)*S$46*DEP_14)</f>
        <v>0</v>
      </c>
      <c r="T60" s="56">
        <f>IF($B$9="Non-Taxable",0,-(AssetBasis)*T$46*DEP_15)</f>
        <v>0</v>
      </c>
      <c r="U60" s="56">
        <f>IF($B$9="Non-Taxable",0,-(AssetBasis)*U$46*DEP_16)</f>
        <v>0</v>
      </c>
      <c r="V60" s="56">
        <f>IF($B$9="Non-Taxable",0,-(AssetBasis)*V$46*DEP_17)</f>
        <v>0</v>
      </c>
      <c r="W60" s="56">
        <f>IF($B$9="Non-Taxable",0,-(AssetBasis)*W$46*DEP_18)</f>
        <v>0</v>
      </c>
      <c r="X60" s="56">
        <f>IF($B$9="Non-Taxable",0,-(AssetBasis)*X$46*DEP_19)</f>
        <v>0</v>
      </c>
      <c r="Y60" s="56">
        <f>IF($B$9="Non-Taxable",0,-(AssetBasis)*Y$46*DEP_20)</f>
        <v>0</v>
      </c>
      <c r="Z60" s="56">
        <f>IF($B$9="Non-Taxable",0,-(AssetBasis)*Z$46*DEP_21)</f>
        <v>0</v>
      </c>
      <c r="AA60" s="56">
        <f>IF($B$9="Non-Taxable",0,-(AssetBasis)*AA$46*DEP_22)</f>
        <v>0</v>
      </c>
      <c r="AB60" s="56">
        <f>IF($B$9="Non-Taxable",0,-(AssetBasis)*AB$46*DEP_23)</f>
        <v>0</v>
      </c>
      <c r="AC60" s="56">
        <f>IF($B$9="Non-Taxable",0,-(AssetBasis)*AC$46*DEP_24)</f>
        <v>0</v>
      </c>
      <c r="AD60" s="56">
        <f>IF($B$9="Non-Taxable",0,-(AssetBasis)*AD$46*DEP_25)</f>
        <v>0</v>
      </c>
      <c r="AE60" s="56">
        <f>IF($B$9="Non-Taxable",0,-(AssetBasis)*AE$46*DEP_26)</f>
        <v>0</v>
      </c>
      <c r="AF60" s="56">
        <f>IF($B$9="Non-Taxable",0,-(AssetBasis)*AF$46*DEP_27)</f>
        <v>0</v>
      </c>
      <c r="AG60" s="56">
        <f>IF($B$9="Non-Taxable",0,-(AssetBasis)*AG$46*DEP_28)</f>
        <v>0</v>
      </c>
      <c r="AH60" s="56">
        <f>IF($B$9="Non-Taxable",0,-(AssetBasis)*AH$46*DEP_29)</f>
        <v>0</v>
      </c>
      <c r="AI60" s="56">
        <f>IF($B$9="Non-Taxable",0,-(AssetBasis)*AI$46*DEP_30)</f>
        <v>0</v>
      </c>
    </row>
    <row r="61" spans="1:35" s="5" customFormat="1" ht="18" customHeight="1" x14ac:dyDescent="0.2">
      <c r="A61" s="80"/>
      <c r="B61" s="80" t="s">
        <v>37</v>
      </c>
      <c r="C61" s="56"/>
      <c r="E61" s="56">
        <f>SUM(E59:E60)</f>
        <v>0</v>
      </c>
      <c r="F61" s="56">
        <f>SUM(F59:F60)</f>
        <v>-196074.5</v>
      </c>
      <c r="G61" s="56">
        <f t="shared" ref="G61:AI61" si="14">SUM(G59:G60)</f>
        <v>-417380.56844999996</v>
      </c>
      <c r="H61" s="56">
        <f t="shared" si="14"/>
        <v>-185600.76122790499</v>
      </c>
      <c r="I61" s="56">
        <f t="shared" si="14"/>
        <v>-47373.808236660756</v>
      </c>
      <c r="J61" s="56">
        <f t="shared" si="14"/>
        <v>-49471.245293264685</v>
      </c>
      <c r="K61" s="56">
        <f>SUM(K59:K60)</f>
        <v>53655.38574076361</v>
      </c>
      <c r="L61" s="56">
        <f t="shared" si="14"/>
        <v>156770.53682599586</v>
      </c>
      <c r="M61" s="56">
        <f t="shared" si="14"/>
        <v>154638.6536087245</v>
      </c>
      <c r="N61" s="56">
        <f t="shared" si="14"/>
        <v>152494.57528153853</v>
      </c>
      <c r="O61" s="56">
        <f t="shared" si="14"/>
        <v>80337.934440773635</v>
      </c>
      <c r="P61" s="56">
        <f t="shared" si="14"/>
        <v>148168.35694076421</v>
      </c>
      <c r="Q61" s="56">
        <f t="shared" si="14"/>
        <v>145985.46174482157</v>
      </c>
      <c r="R61" s="56">
        <f t="shared" si="14"/>
        <v>143788.8607728623</v>
      </c>
      <c r="S61" s="56">
        <f t="shared" si="14"/>
        <v>141578.15874560745</v>
      </c>
      <c r="T61" s="56">
        <f t="shared" si="14"/>
        <v>139352.9530252729</v>
      </c>
      <c r="U61" s="56">
        <f t="shared" si="14"/>
        <v>137112.83345266769</v>
      </c>
      <c r="V61" s="56">
        <f t="shared" si="14"/>
        <v>134857.38218061652</v>
      </c>
      <c r="W61" s="56">
        <f t="shared" si="14"/>
        <v>132586.17350361974</v>
      </c>
      <c r="X61" s="56">
        <f t="shared" si="14"/>
        <v>130298.77368366263</v>
      </c>
      <c r="Y61" s="56">
        <f t="shared" si="14"/>
        <v>57994.740772082529</v>
      </c>
      <c r="Z61" s="56">
        <f t="shared" si="14"/>
        <v>176149.20558014614</v>
      </c>
      <c r="AA61" s="56">
        <f t="shared" si="14"/>
        <v>178232.99155258774</v>
      </c>
      <c r="AB61" s="56">
        <f t="shared" si="14"/>
        <v>180346.31011415814</v>
      </c>
      <c r="AC61" s="56">
        <f t="shared" si="14"/>
        <v>182489.48475434928</v>
      </c>
      <c r="AD61" s="56">
        <f t="shared" si="14"/>
        <v>184662.84126224712</v>
      </c>
      <c r="AE61" s="56">
        <f t="shared" si="14"/>
        <v>0</v>
      </c>
      <c r="AF61" s="56">
        <f t="shared" si="14"/>
        <v>0</v>
      </c>
      <c r="AG61" s="56">
        <f t="shared" si="14"/>
        <v>0</v>
      </c>
      <c r="AH61" s="56">
        <f t="shared" si="14"/>
        <v>0</v>
      </c>
      <c r="AI61" s="56">
        <f t="shared" si="14"/>
        <v>0</v>
      </c>
    </row>
    <row r="62" spans="1:35" s="5" customFormat="1" ht="18" customHeight="1" x14ac:dyDescent="0.2">
      <c r="A62" s="46" t="s">
        <v>38</v>
      </c>
      <c r="B62" s="46"/>
      <c r="C62" s="56"/>
      <c r="E62" s="56"/>
      <c r="F62" s="56">
        <f t="shared" ref="F62:AI62" si="15">Interest</f>
        <v>-55944</v>
      </c>
      <c r="G62" s="56">
        <f t="shared" si="15"/>
        <v>-53540.491133283984</v>
      </c>
      <c r="H62" s="56">
        <f t="shared" si="15"/>
        <v>-50992.771734565009</v>
      </c>
      <c r="I62" s="56">
        <f t="shared" si="15"/>
        <v>-48292.189171922895</v>
      </c>
      <c r="J62" s="56">
        <f t="shared" si="15"/>
        <v>-45429.571655522261</v>
      </c>
      <c r="K62" s="56">
        <f t="shared" si="15"/>
        <v>-42395.197088137582</v>
      </c>
      <c r="L62" s="56">
        <f t="shared" si="15"/>
        <v>-39178.760046709824</v>
      </c>
      <c r="M62" s="56">
        <f t="shared" si="15"/>
        <v>-35769.336782796403</v>
      </c>
      <c r="N62" s="56">
        <f t="shared" si="15"/>
        <v>-32155.348123048174</v>
      </c>
      <c r="O62" s="56">
        <f t="shared" si="15"/>
        <v>-28324.52014371505</v>
      </c>
      <c r="P62" s="56">
        <f t="shared" si="15"/>
        <v>-24263.842485621943</v>
      </c>
      <c r="Q62" s="56">
        <f t="shared" si="15"/>
        <v>-19959.524168043245</v>
      </c>
      <c r="R62" s="56">
        <f t="shared" si="15"/>
        <v>-15396.946751409825</v>
      </c>
      <c r="S62" s="56">
        <f t="shared" si="15"/>
        <v>-10560.614689778402</v>
      </c>
      <c r="T62" s="56">
        <f t="shared" si="15"/>
        <v>-5434.102704449092</v>
      </c>
      <c r="U62" s="56">
        <f t="shared" si="15"/>
        <v>0</v>
      </c>
      <c r="V62" s="56">
        <f t="shared" si="15"/>
        <v>0</v>
      </c>
      <c r="W62" s="56">
        <f t="shared" si="15"/>
        <v>0</v>
      </c>
      <c r="X62" s="56">
        <f t="shared" si="15"/>
        <v>0</v>
      </c>
      <c r="Y62" s="56">
        <f t="shared" si="15"/>
        <v>0</v>
      </c>
      <c r="Z62" s="56">
        <f t="shared" si="15"/>
        <v>0</v>
      </c>
      <c r="AA62" s="56">
        <f t="shared" si="15"/>
        <v>0</v>
      </c>
      <c r="AB62" s="56">
        <f t="shared" si="15"/>
        <v>0</v>
      </c>
      <c r="AC62" s="56">
        <f t="shared" si="15"/>
        <v>0</v>
      </c>
      <c r="AD62" s="56">
        <f t="shared" si="15"/>
        <v>0</v>
      </c>
      <c r="AE62" s="56">
        <f t="shared" si="15"/>
        <v>0</v>
      </c>
      <c r="AF62" s="56">
        <f t="shared" si="15"/>
        <v>0</v>
      </c>
      <c r="AG62" s="56">
        <f t="shared" si="15"/>
        <v>0</v>
      </c>
      <c r="AH62" s="56">
        <f t="shared" si="15"/>
        <v>0</v>
      </c>
      <c r="AI62" s="56">
        <f t="shared" si="15"/>
        <v>0</v>
      </c>
    </row>
    <row r="63" spans="1:35" s="5" customFormat="1" ht="18" customHeight="1" x14ac:dyDescent="0.2">
      <c r="A63" s="80"/>
      <c r="B63" s="80" t="s">
        <v>39</v>
      </c>
      <c r="C63" s="56"/>
      <c r="E63" s="56">
        <f>E61+E62</f>
        <v>0</v>
      </c>
      <c r="F63" s="56">
        <f>F61+F62</f>
        <v>-252018.5</v>
      </c>
      <c r="G63" s="56">
        <f t="shared" ref="G63:AI63" si="16">G61+G62</f>
        <v>-470921.05958328396</v>
      </c>
      <c r="H63" s="56">
        <f t="shared" si="16"/>
        <v>-236593.53296247</v>
      </c>
      <c r="I63" s="56">
        <f t="shared" si="16"/>
        <v>-95665.997408583644</v>
      </c>
      <c r="J63" s="56">
        <f>J61+J62</f>
        <v>-94900.816948786945</v>
      </c>
      <c r="K63" s="56">
        <f>K61+K62</f>
        <v>11260.188652626028</v>
      </c>
      <c r="L63" s="56">
        <f t="shared" si="16"/>
        <v>117591.77677928604</v>
      </c>
      <c r="M63" s="56">
        <f t="shared" si="16"/>
        <v>118869.31682592811</v>
      </c>
      <c r="N63" s="56">
        <f t="shared" si="16"/>
        <v>120339.22715849036</v>
      </c>
      <c r="O63" s="56">
        <f t="shared" si="16"/>
        <v>52013.414297058582</v>
      </c>
      <c r="P63" s="56">
        <f t="shared" si="16"/>
        <v>123904.51445514226</v>
      </c>
      <c r="Q63" s="56">
        <f t="shared" si="16"/>
        <v>126025.93757677832</v>
      </c>
      <c r="R63" s="56">
        <f t="shared" si="16"/>
        <v>128391.91402145248</v>
      </c>
      <c r="S63" s="56">
        <f t="shared" si="16"/>
        <v>131017.54405582904</v>
      </c>
      <c r="T63" s="56">
        <f t="shared" si="16"/>
        <v>133918.85032082381</v>
      </c>
      <c r="U63" s="56">
        <f t="shared" si="16"/>
        <v>137112.83345266769</v>
      </c>
      <c r="V63" s="56">
        <f t="shared" si="16"/>
        <v>134857.38218061652</v>
      </c>
      <c r="W63" s="56">
        <f t="shared" si="16"/>
        <v>132586.17350361974</v>
      </c>
      <c r="X63" s="56">
        <f t="shared" si="16"/>
        <v>130298.77368366263</v>
      </c>
      <c r="Y63" s="56">
        <f t="shared" si="16"/>
        <v>57994.740772082529</v>
      </c>
      <c r="Z63" s="56">
        <f t="shared" si="16"/>
        <v>176149.20558014614</v>
      </c>
      <c r="AA63" s="56">
        <f t="shared" si="16"/>
        <v>178232.99155258774</v>
      </c>
      <c r="AB63" s="56">
        <f t="shared" si="16"/>
        <v>180346.31011415814</v>
      </c>
      <c r="AC63" s="56">
        <f t="shared" si="16"/>
        <v>182489.48475434928</v>
      </c>
      <c r="AD63" s="56">
        <f t="shared" si="16"/>
        <v>184662.84126224712</v>
      </c>
      <c r="AE63" s="56">
        <f t="shared" si="16"/>
        <v>0</v>
      </c>
      <c r="AF63" s="56">
        <f t="shared" si="16"/>
        <v>0</v>
      </c>
      <c r="AG63" s="56">
        <f t="shared" si="16"/>
        <v>0</v>
      </c>
      <c r="AH63" s="56">
        <f t="shared" si="16"/>
        <v>0</v>
      </c>
      <c r="AI63" s="56">
        <f t="shared" si="16"/>
        <v>0</v>
      </c>
    </row>
    <row r="64" spans="1:35" s="30" customFormat="1" ht="18" customHeight="1" x14ac:dyDescent="0.2">
      <c r="A64" s="46" t="s">
        <v>57</v>
      </c>
      <c r="B64" s="46"/>
      <c r="C64" s="56"/>
      <c r="E64" s="56">
        <f t="shared" ref="E64" si="17">IF(taxable="Taxable (Corporation)",IF(StateTaxAdj&gt;=0,-EBT*FedTaxRate,(-EBT*FedTaxRate)-(StateTaxAdj*FedTaxRate)),0)</f>
        <v>0</v>
      </c>
      <c r="F64" s="56">
        <f t="shared" ref="F64:AI64" si="18">IF(taxable="Non-Taxable",0,IF(StateTaxAdj&gt;=0,-EBT*FedTaxRate,(-EBT*FedTaxRate)-(StateTaxAdj*FedTaxRate)))</f>
        <v>54828.694199999998</v>
      </c>
      <c r="G64" s="56">
        <f t="shared" si="18"/>
        <v>100803.90071149047</v>
      </c>
      <c r="H64" s="56">
        <f t="shared" si="18"/>
        <v>51603.041768349198</v>
      </c>
      <c r="I64" s="56">
        <f t="shared" si="18"/>
        <v>22018.573419338361</v>
      </c>
      <c r="J64" s="56">
        <f t="shared" si="18"/>
        <v>21870.740554505635</v>
      </c>
      <c r="K64" s="56">
        <f t="shared" si="18"/>
        <v>-407.51708768734875</v>
      </c>
      <c r="L64" s="56">
        <f t="shared" si="18"/>
        <v>-22718.731273758061</v>
      </c>
      <c r="M64" s="56">
        <f t="shared" si="18"/>
        <v>-22965.552010769308</v>
      </c>
      <c r="N64" s="56">
        <f t="shared" si="18"/>
        <v>-23249.538687020337</v>
      </c>
      <c r="O64" s="56">
        <f t="shared" si="18"/>
        <v>-10048.991642191719</v>
      </c>
      <c r="P64" s="56">
        <f t="shared" si="18"/>
        <v>-23938.352192733484</v>
      </c>
      <c r="Q64" s="56">
        <f t="shared" si="18"/>
        <v>-24348.211139833573</v>
      </c>
      <c r="R64" s="56">
        <f t="shared" si="18"/>
        <v>-24805.317788944616</v>
      </c>
      <c r="S64" s="56">
        <f t="shared" si="18"/>
        <v>-25312.589511586171</v>
      </c>
      <c r="T64" s="56">
        <f t="shared" si="18"/>
        <v>-25873.121881983159</v>
      </c>
      <c r="U64" s="56">
        <f t="shared" si="18"/>
        <v>-26490.199423055397</v>
      </c>
      <c r="V64" s="56">
        <f t="shared" si="18"/>
        <v>-26054.446237295113</v>
      </c>
      <c r="W64" s="56">
        <f t="shared" si="18"/>
        <v>-25615.648720899331</v>
      </c>
      <c r="X64" s="56">
        <f t="shared" si="18"/>
        <v>-25173.723075683618</v>
      </c>
      <c r="Y64" s="56">
        <f t="shared" si="18"/>
        <v>-11204.583917166343</v>
      </c>
      <c r="Z64" s="56">
        <f t="shared" si="18"/>
        <v>-34032.026518084233</v>
      </c>
      <c r="AA64" s="56">
        <f t="shared" si="18"/>
        <v>-34434.613967959951</v>
      </c>
      <c r="AB64" s="56">
        <f t="shared" si="18"/>
        <v>-34842.90711405535</v>
      </c>
      <c r="AC64" s="56">
        <f t="shared" si="18"/>
        <v>-35256.968454540278</v>
      </c>
      <c r="AD64" s="56">
        <f t="shared" si="18"/>
        <v>-35676.860931866147</v>
      </c>
      <c r="AE64" s="56">
        <f t="shared" si="18"/>
        <v>0</v>
      </c>
      <c r="AF64" s="56">
        <f t="shared" si="18"/>
        <v>0</v>
      </c>
      <c r="AG64" s="56">
        <f t="shared" si="18"/>
        <v>0</v>
      </c>
      <c r="AH64" s="56">
        <f t="shared" si="18"/>
        <v>0</v>
      </c>
      <c r="AI64" s="56">
        <f t="shared" si="18"/>
        <v>0</v>
      </c>
    </row>
    <row r="65" spans="1:35" s="30" customFormat="1" ht="18" customHeight="1" x14ac:dyDescent="0.2">
      <c r="A65" s="47" t="s">
        <v>58</v>
      </c>
      <c r="B65" s="47"/>
      <c r="C65" s="23"/>
      <c r="E65" s="23">
        <f t="shared" ref="E65" si="19">IF(taxable="Taxable (Corporation)",IF(ProjectYear&lt;=projectlife,-(EBT-FedDepr)*StateTaxRate,0),0)</f>
        <v>0</v>
      </c>
      <c r="F65" s="23">
        <f t="shared" ref="F65:AI65" si="20">IF(taxable="Non-Taxable",0,IF(ProjectYear&lt;=projectlife,-(EBT-FedDepr)*StateTaxRate,0))</f>
        <v>-9070.52</v>
      </c>
      <c r="G65" s="23">
        <f t="shared" si="20"/>
        <v>-9097.5152333372826</v>
      </c>
      <c r="H65" s="23">
        <f t="shared" si="20"/>
        <v>-9135.2373630024013</v>
      </c>
      <c r="I65" s="23">
        <f t="shared" si="20"/>
        <v>-9184.3522073133081</v>
      </c>
      <c r="J65" s="23">
        <f t="shared" si="20"/>
        <v>-9245.5666440970435</v>
      </c>
      <c r="K65" s="23">
        <f t="shared" si="20"/>
        <v>-9319.631092210082</v>
      </c>
      <c r="L65" s="23">
        <f t="shared" si="20"/>
        <v>-9407.3421423428827</v>
      </c>
      <c r="M65" s="23">
        <f t="shared" si="20"/>
        <v>-9509.5453460742483</v>
      </c>
      <c r="N65" s="23">
        <f t="shared" si="20"/>
        <v>-9627.1381726792297</v>
      </c>
      <c r="O65" s="23">
        <f t="shared" si="20"/>
        <v>-4161.0731437646864</v>
      </c>
      <c r="P65" s="23">
        <f t="shared" si="20"/>
        <v>-9912.3611564113799</v>
      </c>
      <c r="Q65" s="23">
        <f t="shared" si="20"/>
        <v>-10082.075006142266</v>
      </c>
      <c r="R65" s="23">
        <f t="shared" si="20"/>
        <v>-10271.353121716198</v>
      </c>
      <c r="S65" s="23">
        <f t="shared" si="20"/>
        <v>-10481.403524466323</v>
      </c>
      <c r="T65" s="23">
        <f t="shared" si="20"/>
        <v>-10713.508025665906</v>
      </c>
      <c r="U65" s="23">
        <f t="shared" si="20"/>
        <v>-10969.026676213416</v>
      </c>
      <c r="V65" s="23">
        <f t="shared" si="20"/>
        <v>-10788.590574449321</v>
      </c>
      <c r="W65" s="23">
        <f t="shared" si="20"/>
        <v>-10606.893880289579</v>
      </c>
      <c r="X65" s="23">
        <f t="shared" si="20"/>
        <v>-10423.90189469301</v>
      </c>
      <c r="Y65" s="23">
        <f t="shared" si="20"/>
        <v>-4639.579261766602</v>
      </c>
      <c r="Z65" s="23">
        <f t="shared" si="20"/>
        <v>-14091.936446411692</v>
      </c>
      <c r="AA65" s="23">
        <f t="shared" si="20"/>
        <v>-14258.639324207019</v>
      </c>
      <c r="AB65" s="23">
        <f t="shared" si="20"/>
        <v>-14427.704809132652</v>
      </c>
      <c r="AC65" s="23">
        <f t="shared" si="20"/>
        <v>-14599.158780347943</v>
      </c>
      <c r="AD65" s="23">
        <f t="shared" si="20"/>
        <v>-14773.027300979769</v>
      </c>
      <c r="AE65" s="23">
        <f t="shared" si="20"/>
        <v>0</v>
      </c>
      <c r="AF65" s="23">
        <f t="shared" si="20"/>
        <v>0</v>
      </c>
      <c r="AG65" s="23">
        <f t="shared" si="20"/>
        <v>0</v>
      </c>
      <c r="AH65" s="23">
        <f t="shared" si="20"/>
        <v>0</v>
      </c>
      <c r="AI65" s="23">
        <f t="shared" si="20"/>
        <v>0</v>
      </c>
    </row>
    <row r="66" spans="1:35" s="21" customFormat="1" ht="18" customHeight="1" x14ac:dyDescent="0.25">
      <c r="A66" s="82" t="s">
        <v>40</v>
      </c>
      <c r="B66" s="83"/>
      <c r="C66" s="84"/>
      <c r="D66" s="84"/>
      <c r="E66" s="84">
        <f>SUM(E63:E65)</f>
        <v>0</v>
      </c>
      <c r="F66" s="84">
        <f>SUM(F63:F65)</f>
        <v>-206260.32579999999</v>
      </c>
      <c r="G66" s="84">
        <f t="shared" ref="G66:AI66" si="21">SUM(G63:G65)</f>
        <v>-379214.67410513078</v>
      </c>
      <c r="H66" s="84">
        <f t="shared" si="21"/>
        <v>-194125.72855712319</v>
      </c>
      <c r="I66" s="84">
        <f t="shared" si="21"/>
        <v>-82831.776196558596</v>
      </c>
      <c r="J66" s="84">
        <f t="shared" si="21"/>
        <v>-82275.643038378344</v>
      </c>
      <c r="K66" s="84">
        <f t="shared" si="21"/>
        <v>1533.0404727285968</v>
      </c>
      <c r="L66" s="84">
        <f t="shared" si="21"/>
        <v>85465.703363185094</v>
      </c>
      <c r="M66" s="84">
        <f t="shared" si="21"/>
        <v>86394.21946908455</v>
      </c>
      <c r="N66" s="84">
        <f t="shared" si="21"/>
        <v>87462.550298790797</v>
      </c>
      <c r="O66" s="84">
        <f t="shared" si="21"/>
        <v>37803.349511102177</v>
      </c>
      <c r="P66" s="84">
        <f t="shared" si="21"/>
        <v>90053.801105997394</v>
      </c>
      <c r="Q66" s="84">
        <f t="shared" si="21"/>
        <v>91595.651430802478</v>
      </c>
      <c r="R66" s="84">
        <f t="shared" si="21"/>
        <v>93315.243110791678</v>
      </c>
      <c r="S66" s="84">
        <f t="shared" si="21"/>
        <v>95223.551019776554</v>
      </c>
      <c r="T66" s="84">
        <f t="shared" si="21"/>
        <v>97332.220413174742</v>
      </c>
      <c r="U66" s="84">
        <f t="shared" si="21"/>
        <v>99653.607353398882</v>
      </c>
      <c r="V66" s="84">
        <f t="shared" si="21"/>
        <v>98014.345368872091</v>
      </c>
      <c r="W66" s="84">
        <f t="shared" si="21"/>
        <v>96363.630902430828</v>
      </c>
      <c r="X66" s="84">
        <f t="shared" si="21"/>
        <v>94701.148713285991</v>
      </c>
      <c r="Y66" s="84">
        <f t="shared" si="21"/>
        <v>42150.577593149588</v>
      </c>
      <c r="Z66" s="84">
        <f t="shared" si="21"/>
        <v>128025.24261565022</v>
      </c>
      <c r="AA66" s="84">
        <f t="shared" si="21"/>
        <v>129539.73826042078</v>
      </c>
      <c r="AB66" s="84">
        <f t="shared" si="21"/>
        <v>131075.69819097014</v>
      </c>
      <c r="AC66" s="84">
        <f t="shared" si="21"/>
        <v>132633.35751946107</v>
      </c>
      <c r="AD66" s="84">
        <f t="shared" si="21"/>
        <v>134212.95302940119</v>
      </c>
      <c r="AE66" s="84">
        <f t="shared" si="21"/>
        <v>0</v>
      </c>
      <c r="AF66" s="84">
        <f t="shared" si="21"/>
        <v>0</v>
      </c>
      <c r="AG66" s="84">
        <f t="shared" si="21"/>
        <v>0</v>
      </c>
      <c r="AH66" s="84">
        <f t="shared" si="21"/>
        <v>0</v>
      </c>
      <c r="AI66" s="85">
        <f t="shared" si="21"/>
        <v>0</v>
      </c>
    </row>
    <row r="67" spans="1:35" s="5" customFormat="1" ht="18" customHeight="1" x14ac:dyDescent="0.25">
      <c r="A67" s="57" t="s">
        <v>53</v>
      </c>
      <c r="B67" s="57"/>
      <c r="C67" s="56"/>
      <c r="E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row>
    <row r="68" spans="1:35" s="5" customFormat="1" ht="18" customHeight="1" x14ac:dyDescent="0.25">
      <c r="A68" s="58" t="s">
        <v>103</v>
      </c>
      <c r="B68" s="58"/>
      <c r="C68" s="56"/>
      <c r="E68" s="56">
        <f t="shared" ref="E68:AI68" si="22">E66-E60</f>
        <v>0</v>
      </c>
      <c r="F68" s="56">
        <f>F66-F60</f>
        <v>159139.67420000001</v>
      </c>
      <c r="G68" s="56">
        <f t="shared" si="22"/>
        <v>205425.32589486922</v>
      </c>
      <c r="H68" s="56">
        <f t="shared" si="22"/>
        <v>156658.27144287681</v>
      </c>
      <c r="I68" s="56">
        <f t="shared" si="22"/>
        <v>127638.6238034414</v>
      </c>
      <c r="J68" s="56">
        <f t="shared" si="22"/>
        <v>128194.75696162165</v>
      </c>
      <c r="K68" s="56">
        <f t="shared" si="22"/>
        <v>106768.24047272859</v>
      </c>
      <c r="L68" s="56">
        <f t="shared" si="22"/>
        <v>85465.703363185094</v>
      </c>
      <c r="M68" s="56">
        <f t="shared" si="22"/>
        <v>86394.21946908455</v>
      </c>
      <c r="N68" s="56">
        <f t="shared" si="22"/>
        <v>87462.550298790797</v>
      </c>
      <c r="O68" s="56">
        <f t="shared" si="22"/>
        <v>37803.349511102177</v>
      </c>
      <c r="P68" s="56">
        <f t="shared" si="22"/>
        <v>90053.801105997394</v>
      </c>
      <c r="Q68" s="56">
        <f t="shared" si="22"/>
        <v>91595.651430802478</v>
      </c>
      <c r="R68" s="56">
        <f t="shared" si="22"/>
        <v>93315.243110791678</v>
      </c>
      <c r="S68" s="56">
        <f t="shared" si="22"/>
        <v>95223.551019776554</v>
      </c>
      <c r="T68" s="56">
        <f t="shared" si="22"/>
        <v>97332.220413174742</v>
      </c>
      <c r="U68" s="56">
        <f t="shared" si="22"/>
        <v>99653.607353398882</v>
      </c>
      <c r="V68" s="56">
        <f t="shared" si="22"/>
        <v>98014.345368872091</v>
      </c>
      <c r="W68" s="56">
        <f t="shared" si="22"/>
        <v>96363.630902430828</v>
      </c>
      <c r="X68" s="56">
        <f t="shared" si="22"/>
        <v>94701.148713285991</v>
      </c>
      <c r="Y68" s="56">
        <f t="shared" si="22"/>
        <v>42150.577593149588</v>
      </c>
      <c r="Z68" s="56">
        <f t="shared" si="22"/>
        <v>128025.24261565022</v>
      </c>
      <c r="AA68" s="56">
        <f t="shared" si="22"/>
        <v>129539.73826042078</v>
      </c>
      <c r="AB68" s="56">
        <f t="shared" si="22"/>
        <v>131075.69819097014</v>
      </c>
      <c r="AC68" s="56">
        <f t="shared" si="22"/>
        <v>132633.35751946107</v>
      </c>
      <c r="AD68" s="56">
        <f t="shared" si="22"/>
        <v>134212.95302940119</v>
      </c>
      <c r="AE68" s="56">
        <f t="shared" si="22"/>
        <v>0</v>
      </c>
      <c r="AF68" s="56">
        <f t="shared" si="22"/>
        <v>0</v>
      </c>
      <c r="AG68" s="56">
        <f t="shared" si="22"/>
        <v>0</v>
      </c>
      <c r="AH68" s="56">
        <f t="shared" si="22"/>
        <v>0</v>
      </c>
      <c r="AI68" s="56">
        <f t="shared" si="22"/>
        <v>0</v>
      </c>
    </row>
    <row r="69" spans="1:35" s="5" customFormat="1" ht="18" customHeight="1" x14ac:dyDescent="0.25">
      <c r="A69" s="58" t="s">
        <v>46</v>
      </c>
      <c r="B69" s="58"/>
      <c r="C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row>
    <row r="70" spans="1:35" s="5" customFormat="1" ht="18" customHeight="1" x14ac:dyDescent="0.2">
      <c r="A70" s="59" t="s">
        <v>127</v>
      </c>
      <c r="B70" s="59"/>
      <c r="C70" s="56"/>
      <c r="E70" s="56">
        <f>-(SysCost)</f>
        <v>-2100000</v>
      </c>
      <c r="F70" s="56">
        <f t="shared" ref="F70:AI70" si="23">IF(F$44=$B$16,$B$15,0)</f>
        <v>0</v>
      </c>
      <c r="G70" s="56">
        <f t="shared" si="23"/>
        <v>0</v>
      </c>
      <c r="H70" s="56">
        <f t="shared" si="23"/>
        <v>0</v>
      </c>
      <c r="I70" s="56">
        <f t="shared" si="23"/>
        <v>0</v>
      </c>
      <c r="J70" s="56">
        <f t="shared" si="23"/>
        <v>0</v>
      </c>
      <c r="K70" s="56">
        <f t="shared" si="23"/>
        <v>0</v>
      </c>
      <c r="L70" s="56">
        <f t="shared" si="23"/>
        <v>0</v>
      </c>
      <c r="M70" s="56">
        <f t="shared" si="23"/>
        <v>0</v>
      </c>
      <c r="N70" s="56">
        <f t="shared" si="23"/>
        <v>0</v>
      </c>
      <c r="O70" s="56">
        <f t="shared" si="23"/>
        <v>0</v>
      </c>
      <c r="P70" s="56">
        <f t="shared" si="23"/>
        <v>0</v>
      </c>
      <c r="Q70" s="56">
        <f t="shared" si="23"/>
        <v>0</v>
      </c>
      <c r="R70" s="56">
        <f t="shared" si="23"/>
        <v>0</v>
      </c>
      <c r="S70" s="56">
        <f t="shared" si="23"/>
        <v>0</v>
      </c>
      <c r="T70" s="56">
        <f t="shared" si="23"/>
        <v>0</v>
      </c>
      <c r="U70" s="56">
        <f t="shared" si="23"/>
        <v>0</v>
      </c>
      <c r="V70" s="56">
        <f t="shared" si="23"/>
        <v>0</v>
      </c>
      <c r="W70" s="56">
        <f t="shared" si="23"/>
        <v>0</v>
      </c>
      <c r="X70" s="56">
        <f t="shared" si="23"/>
        <v>0</v>
      </c>
      <c r="Y70" s="56">
        <f t="shared" si="23"/>
        <v>0</v>
      </c>
      <c r="Z70" s="56">
        <f t="shared" si="23"/>
        <v>0</v>
      </c>
      <c r="AA70" s="56">
        <f t="shared" si="23"/>
        <v>0</v>
      </c>
      <c r="AB70" s="56">
        <f t="shared" si="23"/>
        <v>0</v>
      </c>
      <c r="AC70" s="56">
        <f t="shared" si="23"/>
        <v>0</v>
      </c>
      <c r="AD70" s="56">
        <f t="shared" si="23"/>
        <v>0</v>
      </c>
      <c r="AE70" s="56">
        <f t="shared" si="23"/>
        <v>0</v>
      </c>
      <c r="AF70" s="56">
        <f t="shared" si="23"/>
        <v>0</v>
      </c>
      <c r="AG70" s="56">
        <f t="shared" si="23"/>
        <v>0</v>
      </c>
      <c r="AH70" s="56">
        <f t="shared" si="23"/>
        <v>0</v>
      </c>
      <c r="AI70" s="56">
        <f t="shared" si="23"/>
        <v>0</v>
      </c>
    </row>
    <row r="71" spans="1:35" s="5" customFormat="1" ht="18" customHeight="1" x14ac:dyDescent="0.2">
      <c r="A71" s="59" t="s">
        <v>61</v>
      </c>
      <c r="B71" s="59"/>
      <c r="C71" s="56"/>
      <c r="E71" s="56">
        <f>IF(taxable="Non-Taxable",0,$H$14)</f>
        <v>546000</v>
      </c>
      <c r="F71" s="70"/>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row>
    <row r="72" spans="1:35" s="5" customFormat="1" ht="18" customHeight="1" x14ac:dyDescent="0.2">
      <c r="A72" s="59" t="s">
        <v>77</v>
      </c>
      <c r="B72" s="59"/>
      <c r="C72" s="56"/>
      <c r="E72" s="56">
        <f>B19</f>
        <v>0</v>
      </c>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row>
    <row r="73" spans="1:35" s="5" customFormat="1" ht="18" customHeight="1" x14ac:dyDescent="0.2">
      <c r="A73" s="55" t="s">
        <v>47</v>
      </c>
      <c r="B73" s="55"/>
      <c r="C73" s="56"/>
      <c r="E73" s="56">
        <f t="shared" ref="E73:AI73" si="24">SUM(E70:E72)</f>
        <v>-1554000</v>
      </c>
      <c r="F73" s="56">
        <f t="shared" si="24"/>
        <v>0</v>
      </c>
      <c r="G73" s="56">
        <f t="shared" si="24"/>
        <v>0</v>
      </c>
      <c r="H73" s="56">
        <f t="shared" si="24"/>
        <v>0</v>
      </c>
      <c r="I73" s="56">
        <f t="shared" si="24"/>
        <v>0</v>
      </c>
      <c r="J73" s="56">
        <f t="shared" si="24"/>
        <v>0</v>
      </c>
      <c r="K73" s="56">
        <f t="shared" si="24"/>
        <v>0</v>
      </c>
      <c r="L73" s="56">
        <f t="shared" si="24"/>
        <v>0</v>
      </c>
      <c r="M73" s="56">
        <f t="shared" si="24"/>
        <v>0</v>
      </c>
      <c r="N73" s="56">
        <f t="shared" si="24"/>
        <v>0</v>
      </c>
      <c r="O73" s="56">
        <f t="shared" si="24"/>
        <v>0</v>
      </c>
      <c r="P73" s="56">
        <f t="shared" si="24"/>
        <v>0</v>
      </c>
      <c r="Q73" s="56">
        <f t="shared" si="24"/>
        <v>0</v>
      </c>
      <c r="R73" s="56">
        <f t="shared" si="24"/>
        <v>0</v>
      </c>
      <c r="S73" s="56">
        <f t="shared" si="24"/>
        <v>0</v>
      </c>
      <c r="T73" s="56">
        <f t="shared" si="24"/>
        <v>0</v>
      </c>
      <c r="U73" s="56">
        <f t="shared" si="24"/>
        <v>0</v>
      </c>
      <c r="V73" s="56">
        <f t="shared" si="24"/>
        <v>0</v>
      </c>
      <c r="W73" s="56">
        <f t="shared" si="24"/>
        <v>0</v>
      </c>
      <c r="X73" s="56">
        <f t="shared" si="24"/>
        <v>0</v>
      </c>
      <c r="Y73" s="56">
        <f t="shared" si="24"/>
        <v>0</v>
      </c>
      <c r="Z73" s="56">
        <f t="shared" si="24"/>
        <v>0</v>
      </c>
      <c r="AA73" s="56">
        <f t="shared" si="24"/>
        <v>0</v>
      </c>
      <c r="AB73" s="56">
        <f t="shared" si="24"/>
        <v>0</v>
      </c>
      <c r="AC73" s="56">
        <f t="shared" si="24"/>
        <v>0</v>
      </c>
      <c r="AD73" s="56">
        <f t="shared" si="24"/>
        <v>0</v>
      </c>
      <c r="AE73" s="56">
        <f t="shared" si="24"/>
        <v>0</v>
      </c>
      <c r="AF73" s="56">
        <f t="shared" si="24"/>
        <v>0</v>
      </c>
      <c r="AG73" s="56">
        <f t="shared" si="24"/>
        <v>0</v>
      </c>
      <c r="AH73" s="56">
        <f t="shared" si="24"/>
        <v>0</v>
      </c>
      <c r="AI73" s="56">
        <f t="shared" si="24"/>
        <v>0</v>
      </c>
    </row>
    <row r="74" spans="1:35" s="5" customFormat="1" ht="18" customHeight="1" x14ac:dyDescent="0.25">
      <c r="A74" s="58" t="s">
        <v>130</v>
      </c>
      <c r="B74" s="58"/>
      <c r="C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row>
    <row r="75" spans="1:35" ht="18" customHeight="1" x14ac:dyDescent="0.2">
      <c r="A75" s="52" t="s">
        <v>49</v>
      </c>
      <c r="B75" s="52"/>
      <c r="C75" s="10"/>
      <c r="E75" s="10">
        <f>$G$30</f>
        <v>932400</v>
      </c>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row>
    <row r="76" spans="1:35" ht="18" customHeight="1" x14ac:dyDescent="0.2">
      <c r="A76" s="91" t="s">
        <v>50</v>
      </c>
      <c r="B76" s="91"/>
      <c r="C76" s="10"/>
      <c r="E76" s="10"/>
      <c r="F76" s="10">
        <f>Principle</f>
        <v>-40058.481111933565</v>
      </c>
      <c r="G76" s="10">
        <f>Principle</f>
        <v>-42461.989978649581</v>
      </c>
      <c r="H76" s="10">
        <f t="shared" ref="H76:AI76" si="25">Principle</f>
        <v>-45009.709377368556</v>
      </c>
      <c r="I76" s="10">
        <f t="shared" si="25"/>
        <v>-47710.291940010669</v>
      </c>
      <c r="J76" s="10">
        <f t="shared" si="25"/>
        <v>-50572.909456411304</v>
      </c>
      <c r="K76" s="10">
        <f t="shared" si="25"/>
        <v>-53607.284023795983</v>
      </c>
      <c r="L76" s="10">
        <f t="shared" si="25"/>
        <v>-56823.721065223741</v>
      </c>
      <c r="M76" s="10">
        <f t="shared" si="25"/>
        <v>-60233.144329137162</v>
      </c>
      <c r="N76" s="10">
        <f t="shared" si="25"/>
        <v>-63847.132988885394</v>
      </c>
      <c r="O76" s="10">
        <f t="shared" si="25"/>
        <v>-67677.960968218511</v>
      </c>
      <c r="P76" s="10">
        <f t="shared" si="25"/>
        <v>-71738.638626311615</v>
      </c>
      <c r="Q76" s="10">
        <f t="shared" si="25"/>
        <v>-76042.956943890313</v>
      </c>
      <c r="R76" s="10">
        <f t="shared" si="25"/>
        <v>-80605.534360523743</v>
      </c>
      <c r="S76" s="10">
        <f t="shared" si="25"/>
        <v>-85441.866422155159</v>
      </c>
      <c r="T76" s="10">
        <f t="shared" si="25"/>
        <v>-90568.378407484473</v>
      </c>
      <c r="U76" s="10">
        <f t="shared" si="25"/>
        <v>0</v>
      </c>
      <c r="V76" s="10">
        <f t="shared" si="25"/>
        <v>0</v>
      </c>
      <c r="W76" s="10">
        <f t="shared" si="25"/>
        <v>0</v>
      </c>
      <c r="X76" s="10">
        <f t="shared" si="25"/>
        <v>0</v>
      </c>
      <c r="Y76" s="10">
        <f t="shared" si="25"/>
        <v>0</v>
      </c>
      <c r="Z76" s="10">
        <f t="shared" si="25"/>
        <v>0</v>
      </c>
      <c r="AA76" s="10">
        <f t="shared" si="25"/>
        <v>0</v>
      </c>
      <c r="AB76" s="10">
        <f t="shared" si="25"/>
        <v>0</v>
      </c>
      <c r="AC76" s="10">
        <f t="shared" si="25"/>
        <v>0</v>
      </c>
      <c r="AD76" s="10">
        <f t="shared" si="25"/>
        <v>0</v>
      </c>
      <c r="AE76" s="10">
        <f t="shared" si="25"/>
        <v>0</v>
      </c>
      <c r="AF76" s="10">
        <f t="shared" si="25"/>
        <v>0</v>
      </c>
      <c r="AG76" s="10">
        <f t="shared" si="25"/>
        <v>0</v>
      </c>
      <c r="AH76" s="10">
        <f t="shared" si="25"/>
        <v>0</v>
      </c>
      <c r="AI76" s="10">
        <f t="shared" si="25"/>
        <v>0</v>
      </c>
    </row>
    <row r="77" spans="1:35" ht="18" customHeight="1" x14ac:dyDescent="0.2">
      <c r="A77" s="37" t="s">
        <v>51</v>
      </c>
      <c r="B77" s="37"/>
      <c r="C77" s="10"/>
      <c r="E77" s="10">
        <f>E75+E76</f>
        <v>932400</v>
      </c>
      <c r="F77" s="10">
        <f>F75+F76</f>
        <v>-40058.481111933565</v>
      </c>
      <c r="G77" s="10">
        <f t="shared" ref="G77:AI77" si="26">G75+G76</f>
        <v>-42461.989978649581</v>
      </c>
      <c r="H77" s="10">
        <f t="shared" si="26"/>
        <v>-45009.709377368556</v>
      </c>
      <c r="I77" s="10">
        <f t="shared" si="26"/>
        <v>-47710.291940010669</v>
      </c>
      <c r="J77" s="10">
        <f t="shared" si="26"/>
        <v>-50572.909456411304</v>
      </c>
      <c r="K77" s="10">
        <f t="shared" si="26"/>
        <v>-53607.284023795983</v>
      </c>
      <c r="L77" s="10">
        <f t="shared" si="26"/>
        <v>-56823.721065223741</v>
      </c>
      <c r="M77" s="10">
        <f t="shared" si="26"/>
        <v>-60233.144329137162</v>
      </c>
      <c r="N77" s="10">
        <f t="shared" si="26"/>
        <v>-63847.132988885394</v>
      </c>
      <c r="O77" s="10">
        <f t="shared" si="26"/>
        <v>-67677.960968218511</v>
      </c>
      <c r="P77" s="10">
        <f t="shared" si="26"/>
        <v>-71738.638626311615</v>
      </c>
      <c r="Q77" s="10">
        <f t="shared" si="26"/>
        <v>-76042.956943890313</v>
      </c>
      <c r="R77" s="10">
        <f t="shared" si="26"/>
        <v>-80605.534360523743</v>
      </c>
      <c r="S77" s="10">
        <f t="shared" si="26"/>
        <v>-85441.866422155159</v>
      </c>
      <c r="T77" s="10">
        <f t="shared" si="26"/>
        <v>-90568.378407484473</v>
      </c>
      <c r="U77" s="10">
        <f t="shared" si="26"/>
        <v>0</v>
      </c>
      <c r="V77" s="10">
        <f t="shared" si="26"/>
        <v>0</v>
      </c>
      <c r="W77" s="10">
        <f t="shared" si="26"/>
        <v>0</v>
      </c>
      <c r="X77" s="10">
        <f t="shared" si="26"/>
        <v>0</v>
      </c>
      <c r="Y77" s="10">
        <f t="shared" si="26"/>
        <v>0</v>
      </c>
      <c r="Z77" s="10">
        <f t="shared" si="26"/>
        <v>0</v>
      </c>
      <c r="AA77" s="10">
        <f t="shared" si="26"/>
        <v>0</v>
      </c>
      <c r="AB77" s="10">
        <f t="shared" si="26"/>
        <v>0</v>
      </c>
      <c r="AC77" s="10">
        <f t="shared" si="26"/>
        <v>0</v>
      </c>
      <c r="AD77" s="10">
        <f t="shared" si="26"/>
        <v>0</v>
      </c>
      <c r="AE77" s="10">
        <f t="shared" si="26"/>
        <v>0</v>
      </c>
      <c r="AF77" s="10">
        <f t="shared" si="26"/>
        <v>0</v>
      </c>
      <c r="AG77" s="10">
        <f t="shared" si="26"/>
        <v>0</v>
      </c>
      <c r="AH77" s="10">
        <f t="shared" si="26"/>
        <v>0</v>
      </c>
      <c r="AI77" s="10">
        <f t="shared" si="26"/>
        <v>0</v>
      </c>
    </row>
    <row r="78" spans="1:35" ht="18" customHeight="1" x14ac:dyDescent="0.2">
      <c r="A78" s="39"/>
      <c r="B78" s="39"/>
      <c r="C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row>
    <row r="79" spans="1:35" s="21" customFormat="1" ht="18" customHeight="1" x14ac:dyDescent="0.25">
      <c r="A79" s="92" t="s">
        <v>60</v>
      </c>
      <c r="B79" s="93"/>
      <c r="C79" s="94"/>
      <c r="D79" s="94"/>
      <c r="E79" s="94">
        <f>E68+E73+E77</f>
        <v>-621600</v>
      </c>
      <c r="F79" s="94">
        <f>F68+F73+F77</f>
        <v>119081.19308806644</v>
      </c>
      <c r="G79" s="94">
        <f t="shared" ref="G79:AI79" si="27">G68+G73+G77</f>
        <v>162963.33591621963</v>
      </c>
      <c r="H79" s="94">
        <f t="shared" si="27"/>
        <v>111648.56206550825</v>
      </c>
      <c r="I79" s="94">
        <f t="shared" si="27"/>
        <v>79928.331863430736</v>
      </c>
      <c r="J79" s="94">
        <f t="shared" si="27"/>
        <v>77621.847505210346</v>
      </c>
      <c r="K79" s="94">
        <f t="shared" si="27"/>
        <v>53160.956448932608</v>
      </c>
      <c r="L79" s="94">
        <f t="shared" si="27"/>
        <v>28641.982297961353</v>
      </c>
      <c r="M79" s="94">
        <f t="shared" si="27"/>
        <v>26161.075139947388</v>
      </c>
      <c r="N79" s="94">
        <f t="shared" si="27"/>
        <v>23615.417309905402</v>
      </c>
      <c r="O79" s="94">
        <f t="shared" si="27"/>
        <v>-29874.611457116334</v>
      </c>
      <c r="P79" s="94">
        <f t="shared" si="27"/>
        <v>18315.16247968578</v>
      </c>
      <c r="Q79" s="94">
        <f t="shared" si="27"/>
        <v>15552.694486912165</v>
      </c>
      <c r="R79" s="94">
        <f t="shared" si="27"/>
        <v>12709.708750267935</v>
      </c>
      <c r="S79" s="94">
        <f t="shared" si="27"/>
        <v>9781.6845976213954</v>
      </c>
      <c r="T79" s="94">
        <f t="shared" si="27"/>
        <v>6763.8420056902687</v>
      </c>
      <c r="U79" s="94">
        <f t="shared" si="27"/>
        <v>99653.607353398882</v>
      </c>
      <c r="V79" s="94">
        <f t="shared" si="27"/>
        <v>98014.345368872091</v>
      </c>
      <c r="W79" s="94">
        <f t="shared" si="27"/>
        <v>96363.630902430828</v>
      </c>
      <c r="X79" s="94">
        <f t="shared" si="27"/>
        <v>94701.148713285991</v>
      </c>
      <c r="Y79" s="94">
        <f t="shared" si="27"/>
        <v>42150.577593149588</v>
      </c>
      <c r="Z79" s="94">
        <f t="shared" si="27"/>
        <v>128025.24261565022</v>
      </c>
      <c r="AA79" s="94">
        <f t="shared" si="27"/>
        <v>129539.73826042078</v>
      </c>
      <c r="AB79" s="94">
        <f t="shared" si="27"/>
        <v>131075.69819097014</v>
      </c>
      <c r="AC79" s="94">
        <f t="shared" si="27"/>
        <v>132633.35751946107</v>
      </c>
      <c r="AD79" s="94">
        <f t="shared" si="27"/>
        <v>134212.95302940119</v>
      </c>
      <c r="AE79" s="94">
        <f t="shared" si="27"/>
        <v>0</v>
      </c>
      <c r="AF79" s="94">
        <f t="shared" si="27"/>
        <v>0</v>
      </c>
      <c r="AG79" s="94">
        <f t="shared" si="27"/>
        <v>0</v>
      </c>
      <c r="AH79" s="94">
        <f t="shared" si="27"/>
        <v>0</v>
      </c>
      <c r="AI79" s="95">
        <f t="shared" si="27"/>
        <v>0</v>
      </c>
    </row>
    <row r="80" spans="1:35" s="1" customFormat="1" ht="18" customHeight="1" x14ac:dyDescent="0.25">
      <c r="A80" s="45" t="s">
        <v>59</v>
      </c>
      <c r="B80" s="45"/>
      <c r="C80" s="42"/>
      <c r="D80" s="42"/>
      <c r="E80" s="42">
        <f>E79</f>
        <v>-621600</v>
      </c>
      <c r="F80" s="42">
        <f>E80+F79</f>
        <v>-502518.80691193359</v>
      </c>
      <c r="G80" s="42">
        <f t="shared" ref="G80:AI80" si="28">F80+G79</f>
        <v>-339555.47099571396</v>
      </c>
      <c r="H80" s="42">
        <f t="shared" si="28"/>
        <v>-227906.90893020571</v>
      </c>
      <c r="I80" s="42">
        <f t="shared" si="28"/>
        <v>-147978.57706677497</v>
      </c>
      <c r="J80" s="42">
        <f t="shared" si="28"/>
        <v>-70356.729561564629</v>
      </c>
      <c r="K80" s="42">
        <f t="shared" si="28"/>
        <v>-17195.773112632021</v>
      </c>
      <c r="L80" s="42">
        <f t="shared" si="28"/>
        <v>11446.209185329331</v>
      </c>
      <c r="M80" s="42">
        <f t="shared" si="28"/>
        <v>37607.28432527672</v>
      </c>
      <c r="N80" s="42">
        <f t="shared" si="28"/>
        <v>61222.701635182122</v>
      </c>
      <c r="O80" s="42">
        <f t="shared" si="28"/>
        <v>31348.090178065788</v>
      </c>
      <c r="P80" s="42">
        <f t="shared" si="28"/>
        <v>49663.252657751567</v>
      </c>
      <c r="Q80" s="42">
        <f t="shared" si="28"/>
        <v>65215.947144663733</v>
      </c>
      <c r="R80" s="42">
        <f t="shared" si="28"/>
        <v>77925.655894931668</v>
      </c>
      <c r="S80" s="42">
        <f t="shared" si="28"/>
        <v>87707.340492553063</v>
      </c>
      <c r="T80" s="42">
        <f t="shared" si="28"/>
        <v>94471.182498243332</v>
      </c>
      <c r="U80" s="42">
        <f t="shared" si="28"/>
        <v>194124.78985164221</v>
      </c>
      <c r="V80" s="42">
        <f t="shared" si="28"/>
        <v>292139.13522051432</v>
      </c>
      <c r="W80" s="42">
        <f t="shared" si="28"/>
        <v>388502.76612294512</v>
      </c>
      <c r="X80" s="42">
        <f t="shared" si="28"/>
        <v>483203.9148362311</v>
      </c>
      <c r="Y80" s="42">
        <f t="shared" si="28"/>
        <v>525354.49242938065</v>
      </c>
      <c r="Z80" s="42">
        <f t="shared" si="28"/>
        <v>653379.73504503083</v>
      </c>
      <c r="AA80" s="42">
        <f t="shared" si="28"/>
        <v>782919.47330545157</v>
      </c>
      <c r="AB80" s="42">
        <f t="shared" si="28"/>
        <v>913995.17149642168</v>
      </c>
      <c r="AC80" s="42">
        <f t="shared" si="28"/>
        <v>1046628.5290158828</v>
      </c>
      <c r="AD80" s="42">
        <f t="shared" si="28"/>
        <v>1180841.482045284</v>
      </c>
      <c r="AE80" s="42">
        <f>AD80+AE79</f>
        <v>1180841.482045284</v>
      </c>
      <c r="AF80" s="42">
        <f t="shared" si="28"/>
        <v>1180841.482045284</v>
      </c>
      <c r="AG80" s="42">
        <f t="shared" si="28"/>
        <v>1180841.482045284</v>
      </c>
      <c r="AH80" s="42">
        <f t="shared" si="28"/>
        <v>1180841.482045284</v>
      </c>
      <c r="AI80" s="42">
        <f t="shared" si="28"/>
        <v>1180841.482045284</v>
      </c>
    </row>
    <row r="81" spans="1:35" ht="19.5" customHeight="1" x14ac:dyDescent="0.2">
      <c r="A81" s="39"/>
      <c r="B81" s="39"/>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row>
    <row r="82" spans="1:35" s="5" customFormat="1" ht="21" customHeight="1" x14ac:dyDescent="0.4">
      <c r="A82" s="108" t="s">
        <v>131</v>
      </c>
      <c r="B82" s="96"/>
      <c r="C82" s="96"/>
      <c r="D82" s="96"/>
      <c r="E82" s="96"/>
      <c r="F82" s="96"/>
      <c r="G82" s="96"/>
      <c r="H82" s="96"/>
      <c r="I82" s="96"/>
      <c r="J82" s="96"/>
      <c r="K82" s="96"/>
      <c r="L82" s="96"/>
      <c r="M82" s="96"/>
      <c r="N82" s="96"/>
      <c r="O82" s="96"/>
      <c r="P82" s="97"/>
      <c r="Q82" s="97"/>
      <c r="R82" s="97"/>
      <c r="S82" s="97"/>
      <c r="T82" s="97"/>
      <c r="U82" s="97"/>
      <c r="V82" s="97"/>
      <c r="W82" s="97"/>
      <c r="X82" s="97"/>
      <c r="Y82" s="97"/>
      <c r="Z82" s="98"/>
      <c r="AA82" s="98"/>
      <c r="AB82" s="98"/>
      <c r="AC82" s="98"/>
      <c r="AD82" s="98"/>
      <c r="AE82" s="98"/>
      <c r="AF82" s="98"/>
      <c r="AG82" s="98"/>
      <c r="AH82" s="98"/>
      <c r="AI82" s="98"/>
    </row>
    <row r="83" spans="1:35" ht="15.75" x14ac:dyDescent="0.25">
      <c r="E83" s="9"/>
      <c r="F83" s="31" t="s">
        <v>3</v>
      </c>
      <c r="G83" s="31" t="s">
        <v>3</v>
      </c>
      <c r="H83" s="31" t="s">
        <v>3</v>
      </c>
      <c r="I83" s="31" t="s">
        <v>3</v>
      </c>
      <c r="J83" s="31" t="s">
        <v>3</v>
      </c>
      <c r="K83" s="31" t="s">
        <v>3</v>
      </c>
      <c r="L83" s="31" t="s">
        <v>3</v>
      </c>
      <c r="M83" s="31" t="s">
        <v>3</v>
      </c>
      <c r="N83" s="31" t="s">
        <v>3</v>
      </c>
      <c r="O83" s="31" t="s">
        <v>3</v>
      </c>
      <c r="P83" s="31" t="s">
        <v>3</v>
      </c>
      <c r="Q83" s="31" t="s">
        <v>3</v>
      </c>
      <c r="R83" s="31" t="s">
        <v>3</v>
      </c>
      <c r="S83" s="31" t="s">
        <v>3</v>
      </c>
      <c r="T83" s="31" t="s">
        <v>3</v>
      </c>
      <c r="U83" s="31" t="s">
        <v>3</v>
      </c>
      <c r="V83" s="31" t="s">
        <v>3</v>
      </c>
      <c r="W83" s="31" t="s">
        <v>3</v>
      </c>
      <c r="X83" s="31" t="s">
        <v>3</v>
      </c>
      <c r="Y83" s="31" t="s">
        <v>3</v>
      </c>
      <c r="Z83" s="31" t="s">
        <v>3</v>
      </c>
      <c r="AA83" s="31" t="s">
        <v>3</v>
      </c>
      <c r="AB83" s="31" t="s">
        <v>3</v>
      </c>
      <c r="AC83" s="31" t="s">
        <v>3</v>
      </c>
      <c r="AD83" s="31" t="s">
        <v>3</v>
      </c>
      <c r="AE83" s="31" t="s">
        <v>3</v>
      </c>
      <c r="AF83" s="31" t="s">
        <v>3</v>
      </c>
      <c r="AG83" s="31" t="s">
        <v>3</v>
      </c>
      <c r="AH83" s="31" t="s">
        <v>3</v>
      </c>
      <c r="AI83" s="31" t="s">
        <v>3</v>
      </c>
    </row>
    <row r="84" spans="1:35" ht="15.75" x14ac:dyDescent="0.25">
      <c r="A84" s="1"/>
      <c r="B84" s="1"/>
      <c r="E84" s="9"/>
      <c r="F84" s="51">
        <v>1</v>
      </c>
      <c r="G84" s="51">
        <v>2</v>
      </c>
      <c r="H84" s="51">
        <v>3</v>
      </c>
      <c r="I84" s="51">
        <v>4</v>
      </c>
      <c r="J84" s="51">
        <v>5</v>
      </c>
      <c r="K84" s="51">
        <v>6</v>
      </c>
      <c r="L84" s="51">
        <v>7</v>
      </c>
      <c r="M84" s="51">
        <v>8</v>
      </c>
      <c r="N84" s="51">
        <v>9</v>
      </c>
      <c r="O84" s="51">
        <v>10</v>
      </c>
      <c r="P84" s="51">
        <v>11</v>
      </c>
      <c r="Q84" s="51">
        <v>12</v>
      </c>
      <c r="R84" s="51">
        <v>13</v>
      </c>
      <c r="S84" s="51">
        <v>14</v>
      </c>
      <c r="T84" s="51">
        <v>15</v>
      </c>
      <c r="U84" s="51">
        <v>16</v>
      </c>
      <c r="V84" s="51">
        <v>17</v>
      </c>
      <c r="W84" s="51">
        <v>18</v>
      </c>
      <c r="X84" s="51">
        <v>19</v>
      </c>
      <c r="Y84" s="51">
        <v>20</v>
      </c>
      <c r="Z84" s="51">
        <v>21</v>
      </c>
      <c r="AA84" s="51">
        <v>22</v>
      </c>
      <c r="AB84" s="51">
        <v>23</v>
      </c>
      <c r="AC84" s="51">
        <v>24</v>
      </c>
      <c r="AD84" s="51">
        <v>25</v>
      </c>
      <c r="AE84" s="51">
        <v>26</v>
      </c>
      <c r="AF84" s="51">
        <v>27</v>
      </c>
      <c r="AG84" s="51">
        <v>28</v>
      </c>
      <c r="AH84" s="51">
        <v>29</v>
      </c>
      <c r="AI84" s="51">
        <v>30</v>
      </c>
    </row>
    <row r="85" spans="1:35" x14ac:dyDescent="0.2">
      <c r="A85" s="2" t="s">
        <v>41</v>
      </c>
      <c r="E85" s="9"/>
      <c r="F85" s="9">
        <f>LoanAmount</f>
        <v>932400</v>
      </c>
      <c r="G85" s="9">
        <f>F89</f>
        <v>892341.51888806641</v>
      </c>
      <c r="H85" s="9">
        <f t="shared" ref="H85:AI85" si="29">G89</f>
        <v>849879.52890941687</v>
      </c>
      <c r="I85" s="9">
        <f t="shared" si="29"/>
        <v>804869.81953204831</v>
      </c>
      <c r="J85" s="9">
        <f t="shared" si="29"/>
        <v>757159.52759203769</v>
      </c>
      <c r="K85" s="9">
        <f t="shared" si="29"/>
        <v>706586.61813562643</v>
      </c>
      <c r="L85" s="9">
        <f t="shared" si="29"/>
        <v>652979.33411183045</v>
      </c>
      <c r="M85" s="9">
        <f t="shared" si="29"/>
        <v>596155.61304660677</v>
      </c>
      <c r="N85" s="9">
        <f t="shared" si="29"/>
        <v>535922.4687174696</v>
      </c>
      <c r="O85" s="9">
        <f t="shared" si="29"/>
        <v>472075.33572858421</v>
      </c>
      <c r="P85" s="9">
        <f t="shared" si="29"/>
        <v>404397.3747603657</v>
      </c>
      <c r="Q85" s="9">
        <f t="shared" si="29"/>
        <v>332658.73613405408</v>
      </c>
      <c r="R85" s="9">
        <f t="shared" si="29"/>
        <v>256615.77919016377</v>
      </c>
      <c r="S85" s="9">
        <f t="shared" si="29"/>
        <v>176010.24482964003</v>
      </c>
      <c r="T85" s="9">
        <f t="shared" si="29"/>
        <v>90568.378407484866</v>
      </c>
      <c r="U85" s="9">
        <f t="shared" si="29"/>
        <v>3.92901711165905E-10</v>
      </c>
      <c r="V85" s="9">
        <f t="shared" si="29"/>
        <v>3.92901711165905E-10</v>
      </c>
      <c r="W85" s="9">
        <f t="shared" si="29"/>
        <v>3.92901711165905E-10</v>
      </c>
      <c r="X85" s="9">
        <f t="shared" si="29"/>
        <v>3.92901711165905E-10</v>
      </c>
      <c r="Y85" s="9">
        <f t="shared" si="29"/>
        <v>3.92901711165905E-10</v>
      </c>
      <c r="Z85" s="9">
        <f t="shared" si="29"/>
        <v>3.92901711165905E-10</v>
      </c>
      <c r="AA85" s="9">
        <f t="shared" si="29"/>
        <v>3.92901711165905E-10</v>
      </c>
      <c r="AB85" s="9">
        <f t="shared" si="29"/>
        <v>3.92901711165905E-10</v>
      </c>
      <c r="AC85" s="9">
        <f t="shared" si="29"/>
        <v>3.92901711165905E-10</v>
      </c>
      <c r="AD85" s="9">
        <f t="shared" si="29"/>
        <v>3.92901711165905E-10</v>
      </c>
      <c r="AE85" s="9">
        <f t="shared" si="29"/>
        <v>3.92901711165905E-10</v>
      </c>
      <c r="AF85" s="9">
        <f t="shared" si="29"/>
        <v>3.92901711165905E-10</v>
      </c>
      <c r="AG85" s="9">
        <f t="shared" si="29"/>
        <v>3.92901711165905E-10</v>
      </c>
      <c r="AH85" s="9">
        <f t="shared" si="29"/>
        <v>3.92901711165905E-10</v>
      </c>
      <c r="AI85" s="9">
        <f t="shared" si="29"/>
        <v>3.92901711165905E-10</v>
      </c>
    </row>
    <row r="86" spans="1:35" x14ac:dyDescent="0.2">
      <c r="A86" s="2" t="s">
        <v>42</v>
      </c>
      <c r="E86" s="9"/>
      <c r="F86" s="9">
        <f t="shared" ref="F86:AI86" si="30">IF(ProjectYear&lt;=LoanTerm,PMT(LoanInterest,LoanTerm,LoanAmount),0)</f>
        <v>-96002.481111933565</v>
      </c>
      <c r="G86" s="9">
        <f t="shared" si="30"/>
        <v>-96002.481111933565</v>
      </c>
      <c r="H86" s="9">
        <f t="shared" si="30"/>
        <v>-96002.481111933565</v>
      </c>
      <c r="I86" s="9">
        <f t="shared" si="30"/>
        <v>-96002.481111933565</v>
      </c>
      <c r="J86" s="9">
        <f t="shared" si="30"/>
        <v>-96002.481111933565</v>
      </c>
      <c r="K86" s="9">
        <f t="shared" si="30"/>
        <v>-96002.481111933565</v>
      </c>
      <c r="L86" s="9">
        <f t="shared" si="30"/>
        <v>-96002.481111933565</v>
      </c>
      <c r="M86" s="9">
        <f t="shared" si="30"/>
        <v>-96002.481111933565</v>
      </c>
      <c r="N86" s="9">
        <f t="shared" si="30"/>
        <v>-96002.481111933565</v>
      </c>
      <c r="O86" s="9">
        <f t="shared" si="30"/>
        <v>-96002.481111933565</v>
      </c>
      <c r="P86" s="9">
        <f t="shared" si="30"/>
        <v>-96002.481111933565</v>
      </c>
      <c r="Q86" s="9">
        <f t="shared" si="30"/>
        <v>-96002.481111933565</v>
      </c>
      <c r="R86" s="9">
        <f t="shared" si="30"/>
        <v>-96002.481111933565</v>
      </c>
      <c r="S86" s="9">
        <f t="shared" si="30"/>
        <v>-96002.481111933565</v>
      </c>
      <c r="T86" s="9">
        <f t="shared" si="30"/>
        <v>-96002.481111933565</v>
      </c>
      <c r="U86" s="9">
        <f t="shared" si="30"/>
        <v>0</v>
      </c>
      <c r="V86" s="9">
        <f t="shared" si="30"/>
        <v>0</v>
      </c>
      <c r="W86" s="9">
        <f t="shared" si="30"/>
        <v>0</v>
      </c>
      <c r="X86" s="9">
        <f t="shared" si="30"/>
        <v>0</v>
      </c>
      <c r="Y86" s="9">
        <f t="shared" si="30"/>
        <v>0</v>
      </c>
      <c r="Z86" s="9">
        <f t="shared" si="30"/>
        <v>0</v>
      </c>
      <c r="AA86" s="9">
        <f t="shared" si="30"/>
        <v>0</v>
      </c>
      <c r="AB86" s="9">
        <f t="shared" si="30"/>
        <v>0</v>
      </c>
      <c r="AC86" s="9">
        <f t="shared" si="30"/>
        <v>0</v>
      </c>
      <c r="AD86" s="9">
        <f t="shared" si="30"/>
        <v>0</v>
      </c>
      <c r="AE86" s="9">
        <f t="shared" si="30"/>
        <v>0</v>
      </c>
      <c r="AF86" s="9">
        <f t="shared" si="30"/>
        <v>0</v>
      </c>
      <c r="AG86" s="9">
        <f t="shared" si="30"/>
        <v>0</v>
      </c>
      <c r="AH86" s="9">
        <f t="shared" si="30"/>
        <v>0</v>
      </c>
      <c r="AI86" s="9">
        <f t="shared" si="30"/>
        <v>0</v>
      </c>
    </row>
    <row r="87" spans="1:35" x14ac:dyDescent="0.2">
      <c r="A87" s="2" t="s">
        <v>43</v>
      </c>
      <c r="E87" s="9"/>
      <c r="F87" s="9">
        <f t="shared" ref="F87:AI87" si="31">DebtService-Interest</f>
        <v>-40058.481111933565</v>
      </c>
      <c r="G87" s="9">
        <f t="shared" si="31"/>
        <v>-42461.989978649581</v>
      </c>
      <c r="H87" s="9">
        <f t="shared" si="31"/>
        <v>-45009.709377368556</v>
      </c>
      <c r="I87" s="9">
        <f t="shared" si="31"/>
        <v>-47710.291940010669</v>
      </c>
      <c r="J87" s="9">
        <f t="shared" si="31"/>
        <v>-50572.909456411304</v>
      </c>
      <c r="K87" s="9">
        <f t="shared" si="31"/>
        <v>-53607.284023795983</v>
      </c>
      <c r="L87" s="9">
        <f t="shared" si="31"/>
        <v>-56823.721065223741</v>
      </c>
      <c r="M87" s="9">
        <f t="shared" si="31"/>
        <v>-60233.144329137162</v>
      </c>
      <c r="N87" s="9">
        <f t="shared" si="31"/>
        <v>-63847.132988885394</v>
      </c>
      <c r="O87" s="9">
        <f t="shared" si="31"/>
        <v>-67677.960968218511</v>
      </c>
      <c r="P87" s="9">
        <f t="shared" si="31"/>
        <v>-71738.638626311615</v>
      </c>
      <c r="Q87" s="9">
        <f t="shared" si="31"/>
        <v>-76042.956943890313</v>
      </c>
      <c r="R87" s="9">
        <f t="shared" si="31"/>
        <v>-80605.534360523743</v>
      </c>
      <c r="S87" s="9">
        <f t="shared" si="31"/>
        <v>-85441.866422155159</v>
      </c>
      <c r="T87" s="9">
        <f t="shared" si="31"/>
        <v>-90568.378407484473</v>
      </c>
      <c r="U87" s="9">
        <f t="shared" si="31"/>
        <v>0</v>
      </c>
      <c r="V87" s="9">
        <f t="shared" si="31"/>
        <v>0</v>
      </c>
      <c r="W87" s="9">
        <f t="shared" si="31"/>
        <v>0</v>
      </c>
      <c r="X87" s="9">
        <f t="shared" si="31"/>
        <v>0</v>
      </c>
      <c r="Y87" s="9">
        <f t="shared" si="31"/>
        <v>0</v>
      </c>
      <c r="Z87" s="9">
        <f t="shared" si="31"/>
        <v>0</v>
      </c>
      <c r="AA87" s="9">
        <f t="shared" si="31"/>
        <v>0</v>
      </c>
      <c r="AB87" s="9">
        <f t="shared" si="31"/>
        <v>0</v>
      </c>
      <c r="AC87" s="9">
        <f t="shared" si="31"/>
        <v>0</v>
      </c>
      <c r="AD87" s="9">
        <f t="shared" si="31"/>
        <v>0</v>
      </c>
      <c r="AE87" s="9">
        <f t="shared" si="31"/>
        <v>0</v>
      </c>
      <c r="AF87" s="9">
        <f t="shared" si="31"/>
        <v>0</v>
      </c>
      <c r="AG87" s="9">
        <f t="shared" si="31"/>
        <v>0</v>
      </c>
      <c r="AH87" s="9">
        <f t="shared" si="31"/>
        <v>0</v>
      </c>
      <c r="AI87" s="9">
        <f t="shared" si="31"/>
        <v>0</v>
      </c>
    </row>
    <row r="88" spans="1:35" x14ac:dyDescent="0.2">
      <c r="A88" s="2" t="s">
        <v>44</v>
      </c>
      <c r="E88" s="9"/>
      <c r="F88" s="9">
        <f t="shared" ref="F88:AI88" si="32">IF(ProjectYear&lt;=LoanTerm,-BegLoanBal*LoanInterest,0)</f>
        <v>-55944</v>
      </c>
      <c r="G88" s="9">
        <f t="shared" si="32"/>
        <v>-53540.491133283984</v>
      </c>
      <c r="H88" s="9">
        <f t="shared" si="32"/>
        <v>-50992.771734565009</v>
      </c>
      <c r="I88" s="9">
        <f t="shared" si="32"/>
        <v>-48292.189171922895</v>
      </c>
      <c r="J88" s="9">
        <f t="shared" si="32"/>
        <v>-45429.571655522261</v>
      </c>
      <c r="K88" s="9">
        <f t="shared" si="32"/>
        <v>-42395.197088137582</v>
      </c>
      <c r="L88" s="9">
        <f t="shared" si="32"/>
        <v>-39178.760046709824</v>
      </c>
      <c r="M88" s="9">
        <f t="shared" si="32"/>
        <v>-35769.336782796403</v>
      </c>
      <c r="N88" s="9">
        <f t="shared" si="32"/>
        <v>-32155.348123048174</v>
      </c>
      <c r="O88" s="9">
        <f t="shared" si="32"/>
        <v>-28324.52014371505</v>
      </c>
      <c r="P88" s="9">
        <f t="shared" si="32"/>
        <v>-24263.842485621943</v>
      </c>
      <c r="Q88" s="9">
        <f t="shared" si="32"/>
        <v>-19959.524168043245</v>
      </c>
      <c r="R88" s="9">
        <f t="shared" si="32"/>
        <v>-15396.946751409825</v>
      </c>
      <c r="S88" s="9">
        <f t="shared" si="32"/>
        <v>-10560.614689778402</v>
      </c>
      <c r="T88" s="9">
        <f t="shared" si="32"/>
        <v>-5434.102704449092</v>
      </c>
      <c r="U88" s="9">
        <f t="shared" si="32"/>
        <v>0</v>
      </c>
      <c r="V88" s="9">
        <f t="shared" si="32"/>
        <v>0</v>
      </c>
      <c r="W88" s="9">
        <f t="shared" si="32"/>
        <v>0</v>
      </c>
      <c r="X88" s="9">
        <f t="shared" si="32"/>
        <v>0</v>
      </c>
      <c r="Y88" s="9">
        <f t="shared" si="32"/>
        <v>0</v>
      </c>
      <c r="Z88" s="9">
        <f t="shared" si="32"/>
        <v>0</v>
      </c>
      <c r="AA88" s="9">
        <f t="shared" si="32"/>
        <v>0</v>
      </c>
      <c r="AB88" s="9">
        <f t="shared" si="32"/>
        <v>0</v>
      </c>
      <c r="AC88" s="9">
        <f t="shared" si="32"/>
        <v>0</v>
      </c>
      <c r="AD88" s="9">
        <f t="shared" si="32"/>
        <v>0</v>
      </c>
      <c r="AE88" s="9">
        <f t="shared" si="32"/>
        <v>0</v>
      </c>
      <c r="AF88" s="9">
        <f t="shared" si="32"/>
        <v>0</v>
      </c>
      <c r="AG88" s="9">
        <f t="shared" si="32"/>
        <v>0</v>
      </c>
      <c r="AH88" s="9">
        <f t="shared" si="32"/>
        <v>0</v>
      </c>
      <c r="AI88" s="9">
        <f t="shared" si="32"/>
        <v>0</v>
      </c>
    </row>
    <row r="89" spans="1:35" s="1" customFormat="1" ht="15.75" x14ac:dyDescent="0.25">
      <c r="A89" s="1" t="s">
        <v>45</v>
      </c>
      <c r="C89" s="60"/>
      <c r="E89" s="60"/>
      <c r="F89" s="60">
        <f t="shared" ref="F89:AI89" si="33">BegLoanBal+Principle</f>
        <v>892341.51888806641</v>
      </c>
      <c r="G89" s="60">
        <f t="shared" si="33"/>
        <v>849879.52890941687</v>
      </c>
      <c r="H89" s="60">
        <f t="shared" si="33"/>
        <v>804869.81953204831</v>
      </c>
      <c r="I89" s="60">
        <f t="shared" si="33"/>
        <v>757159.52759203769</v>
      </c>
      <c r="J89" s="60">
        <f t="shared" si="33"/>
        <v>706586.61813562643</v>
      </c>
      <c r="K89" s="60">
        <f t="shared" si="33"/>
        <v>652979.33411183045</v>
      </c>
      <c r="L89" s="60">
        <f t="shared" si="33"/>
        <v>596155.61304660677</v>
      </c>
      <c r="M89" s="60">
        <f t="shared" si="33"/>
        <v>535922.4687174696</v>
      </c>
      <c r="N89" s="60">
        <f t="shared" si="33"/>
        <v>472075.33572858421</v>
      </c>
      <c r="O89" s="60">
        <f t="shared" si="33"/>
        <v>404397.3747603657</v>
      </c>
      <c r="P89" s="60">
        <f t="shared" si="33"/>
        <v>332658.73613405408</v>
      </c>
      <c r="Q89" s="60">
        <f t="shared" si="33"/>
        <v>256615.77919016377</v>
      </c>
      <c r="R89" s="60">
        <f t="shared" si="33"/>
        <v>176010.24482964003</v>
      </c>
      <c r="S89" s="60">
        <f t="shared" si="33"/>
        <v>90568.378407484866</v>
      </c>
      <c r="T89" s="60">
        <f t="shared" si="33"/>
        <v>3.92901711165905E-10</v>
      </c>
      <c r="U89" s="60">
        <f t="shared" si="33"/>
        <v>3.92901711165905E-10</v>
      </c>
      <c r="V89" s="60">
        <f t="shared" si="33"/>
        <v>3.92901711165905E-10</v>
      </c>
      <c r="W89" s="60">
        <f t="shared" si="33"/>
        <v>3.92901711165905E-10</v>
      </c>
      <c r="X89" s="60">
        <f t="shared" si="33"/>
        <v>3.92901711165905E-10</v>
      </c>
      <c r="Y89" s="60">
        <f t="shared" si="33"/>
        <v>3.92901711165905E-10</v>
      </c>
      <c r="Z89" s="60">
        <f t="shared" si="33"/>
        <v>3.92901711165905E-10</v>
      </c>
      <c r="AA89" s="60">
        <f t="shared" si="33"/>
        <v>3.92901711165905E-10</v>
      </c>
      <c r="AB89" s="60">
        <f t="shared" si="33"/>
        <v>3.92901711165905E-10</v>
      </c>
      <c r="AC89" s="60">
        <f t="shared" si="33"/>
        <v>3.92901711165905E-10</v>
      </c>
      <c r="AD89" s="60">
        <f t="shared" si="33"/>
        <v>3.92901711165905E-10</v>
      </c>
      <c r="AE89" s="60">
        <f t="shared" si="33"/>
        <v>3.92901711165905E-10</v>
      </c>
      <c r="AF89" s="60">
        <f t="shared" si="33"/>
        <v>3.92901711165905E-10</v>
      </c>
      <c r="AG89" s="60">
        <f t="shared" si="33"/>
        <v>3.92901711165905E-10</v>
      </c>
      <c r="AH89" s="60">
        <f t="shared" si="33"/>
        <v>3.92901711165905E-10</v>
      </c>
      <c r="AI89" s="60">
        <f t="shared" si="33"/>
        <v>3.92901711165905E-10</v>
      </c>
    </row>
    <row r="90" spans="1:35" s="1" customFormat="1" ht="15.75" x14ac:dyDescent="0.25">
      <c r="C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row>
    <row r="91" spans="1:35" s="21" customFormat="1" ht="23.25" x14ac:dyDescent="0.35">
      <c r="A91" s="156" t="s">
        <v>136</v>
      </c>
      <c r="B91" s="135"/>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row>
    <row r="92" spans="1:35" s="5" customFormat="1" ht="17.25" customHeight="1" x14ac:dyDescent="0.3">
      <c r="A92" s="157" t="s">
        <v>68</v>
      </c>
      <c r="B92" s="141"/>
      <c r="C92" s="122"/>
      <c r="D92" s="137"/>
      <c r="E92" s="122"/>
      <c r="F92" s="142"/>
      <c r="G92" s="143"/>
      <c r="H92" s="143"/>
      <c r="I92" s="143"/>
      <c r="J92" s="143"/>
      <c r="K92" s="143"/>
      <c r="L92" s="143"/>
      <c r="M92" s="143"/>
      <c r="N92" s="143"/>
      <c r="O92" s="143"/>
      <c r="P92" s="143"/>
      <c r="Q92" s="143"/>
      <c r="R92" s="143"/>
      <c r="S92" s="143"/>
      <c r="T92" s="143"/>
      <c r="U92" s="143"/>
      <c r="V92" s="133"/>
      <c r="W92" s="143"/>
      <c r="X92" s="143"/>
      <c r="Y92" s="143"/>
      <c r="Z92" s="143"/>
      <c r="AA92" s="143"/>
      <c r="AB92" s="143"/>
      <c r="AC92" s="143"/>
      <c r="AD92" s="143"/>
      <c r="AE92" s="143"/>
      <c r="AF92" s="143"/>
      <c r="AG92" s="143"/>
      <c r="AH92" s="143"/>
      <c r="AI92" s="143"/>
    </row>
    <row r="93" spans="1:35" s="5" customFormat="1" ht="18" customHeight="1" x14ac:dyDescent="0.25">
      <c r="A93" s="144" t="s">
        <v>52</v>
      </c>
      <c r="B93" s="144"/>
      <c r="C93" s="122"/>
      <c r="D93" s="137"/>
      <c r="E93" s="122"/>
      <c r="F93" s="145"/>
      <c r="G93" s="143"/>
      <c r="H93" s="143"/>
      <c r="I93" s="143"/>
      <c r="J93" s="143"/>
      <c r="K93" s="143"/>
      <c r="L93" s="143"/>
      <c r="M93" s="143"/>
      <c r="N93" s="143"/>
      <c r="O93" s="143"/>
      <c r="P93" s="143"/>
      <c r="Q93" s="143"/>
      <c r="R93" s="143"/>
      <c r="S93" s="143"/>
      <c r="T93" s="143"/>
      <c r="U93" s="143"/>
      <c r="V93" s="133"/>
      <c r="W93" s="143"/>
      <c r="X93" s="143"/>
      <c r="Y93" s="143"/>
      <c r="Z93" s="143"/>
      <c r="AA93" s="143"/>
      <c r="AB93" s="143"/>
      <c r="AC93" s="143"/>
      <c r="AD93" s="143"/>
      <c r="AE93" s="143"/>
      <c r="AF93" s="143"/>
      <c r="AG93" s="143"/>
      <c r="AH93" s="143"/>
      <c r="AI93" s="143"/>
    </row>
    <row r="94" spans="1:35" s="5" customFormat="1" ht="18" customHeight="1" x14ac:dyDescent="0.25">
      <c r="A94" s="146" t="s">
        <v>111</v>
      </c>
      <c r="B94" s="146"/>
      <c r="C94" s="122"/>
      <c r="D94" s="137"/>
      <c r="E94" s="122"/>
      <c r="F94" s="133">
        <f t="shared" ref="F94:AI94" si="34">Generation*F$47*elecRev*(1+ElecRevAdj)^E$44</f>
        <v>0</v>
      </c>
      <c r="G94" s="133">
        <f t="shared" si="34"/>
        <v>0</v>
      </c>
      <c r="H94" s="133">
        <f t="shared" si="34"/>
        <v>0</v>
      </c>
      <c r="I94" s="133">
        <f t="shared" si="34"/>
        <v>0</v>
      </c>
      <c r="J94" s="133">
        <f t="shared" si="34"/>
        <v>0</v>
      </c>
      <c r="K94" s="133">
        <f t="shared" si="34"/>
        <v>0</v>
      </c>
      <c r="L94" s="133">
        <f t="shared" si="34"/>
        <v>0</v>
      </c>
      <c r="M94" s="133">
        <f t="shared" si="34"/>
        <v>0</v>
      </c>
      <c r="N94" s="133">
        <f t="shared" si="34"/>
        <v>0</v>
      </c>
      <c r="O94" s="133">
        <f t="shared" si="34"/>
        <v>0</v>
      </c>
      <c r="P94" s="133">
        <f t="shared" si="34"/>
        <v>0</v>
      </c>
      <c r="Q94" s="133">
        <f t="shared" si="34"/>
        <v>0</v>
      </c>
      <c r="R94" s="133">
        <f t="shared" si="34"/>
        <v>0</v>
      </c>
      <c r="S94" s="133">
        <f t="shared" si="34"/>
        <v>0</v>
      </c>
      <c r="T94" s="133">
        <f t="shared" si="34"/>
        <v>0</v>
      </c>
      <c r="U94" s="133">
        <f t="shared" si="34"/>
        <v>0</v>
      </c>
      <c r="V94" s="133">
        <f t="shared" si="34"/>
        <v>0</v>
      </c>
      <c r="W94" s="133">
        <f t="shared" si="34"/>
        <v>0</v>
      </c>
      <c r="X94" s="133">
        <f t="shared" si="34"/>
        <v>0</v>
      </c>
      <c r="Y94" s="133">
        <f t="shared" si="34"/>
        <v>0</v>
      </c>
      <c r="Z94" s="133">
        <f t="shared" si="34"/>
        <v>0</v>
      </c>
      <c r="AA94" s="133">
        <f t="shared" si="34"/>
        <v>0</v>
      </c>
      <c r="AB94" s="133">
        <f t="shared" si="34"/>
        <v>0</v>
      </c>
      <c r="AC94" s="133">
        <f t="shared" si="34"/>
        <v>0</v>
      </c>
      <c r="AD94" s="133">
        <f t="shared" si="34"/>
        <v>0</v>
      </c>
      <c r="AE94" s="133">
        <f t="shared" si="34"/>
        <v>0</v>
      </c>
      <c r="AF94" s="133">
        <f t="shared" si="34"/>
        <v>0</v>
      </c>
      <c r="AG94" s="133">
        <f t="shared" si="34"/>
        <v>0</v>
      </c>
      <c r="AH94" s="133">
        <f t="shared" si="34"/>
        <v>0</v>
      </c>
      <c r="AI94" s="133">
        <f t="shared" si="34"/>
        <v>0</v>
      </c>
    </row>
    <row r="95" spans="1:35" s="5" customFormat="1" ht="18" customHeight="1" x14ac:dyDescent="0.25">
      <c r="A95" s="146" t="s">
        <v>124</v>
      </c>
      <c r="B95" s="146"/>
      <c r="C95" s="122"/>
      <c r="D95" s="137"/>
      <c r="E95" s="122"/>
      <c r="F95" s="133">
        <f t="shared" ref="F95:AI95" si="35">IF($B$27&gt;=F$44,Generation*F$47*$B$26,F$94)</f>
        <v>0</v>
      </c>
      <c r="G95" s="133">
        <f t="shared" si="35"/>
        <v>0</v>
      </c>
      <c r="H95" s="133">
        <f t="shared" si="35"/>
        <v>0</v>
      </c>
      <c r="I95" s="133">
        <f t="shared" si="35"/>
        <v>0</v>
      </c>
      <c r="J95" s="133">
        <f t="shared" si="35"/>
        <v>0</v>
      </c>
      <c r="K95" s="133">
        <f t="shared" si="35"/>
        <v>0</v>
      </c>
      <c r="L95" s="133">
        <f t="shared" si="35"/>
        <v>0</v>
      </c>
      <c r="M95" s="133">
        <f t="shared" si="35"/>
        <v>0</v>
      </c>
      <c r="N95" s="133">
        <f t="shared" si="35"/>
        <v>0</v>
      </c>
      <c r="O95" s="133">
        <f t="shared" si="35"/>
        <v>0</v>
      </c>
      <c r="P95" s="133">
        <f t="shared" si="35"/>
        <v>0</v>
      </c>
      <c r="Q95" s="133">
        <f t="shared" si="35"/>
        <v>0</v>
      </c>
      <c r="R95" s="133">
        <f t="shared" si="35"/>
        <v>0</v>
      </c>
      <c r="S95" s="133">
        <f t="shared" si="35"/>
        <v>0</v>
      </c>
      <c r="T95" s="133">
        <f t="shared" si="35"/>
        <v>0</v>
      </c>
      <c r="U95" s="133">
        <f t="shared" si="35"/>
        <v>0</v>
      </c>
      <c r="V95" s="133">
        <f t="shared" si="35"/>
        <v>0</v>
      </c>
      <c r="W95" s="133">
        <f t="shared" si="35"/>
        <v>0</v>
      </c>
      <c r="X95" s="133">
        <f t="shared" si="35"/>
        <v>0</v>
      </c>
      <c r="Y95" s="133">
        <f t="shared" si="35"/>
        <v>0</v>
      </c>
      <c r="Z95" s="133">
        <f t="shared" si="35"/>
        <v>0</v>
      </c>
      <c r="AA95" s="133">
        <f t="shared" si="35"/>
        <v>0</v>
      </c>
      <c r="AB95" s="133">
        <f t="shared" si="35"/>
        <v>0</v>
      </c>
      <c r="AC95" s="133">
        <f t="shared" si="35"/>
        <v>0</v>
      </c>
      <c r="AD95" s="133">
        <f t="shared" si="35"/>
        <v>0</v>
      </c>
      <c r="AE95" s="133">
        <f t="shared" si="35"/>
        <v>0</v>
      </c>
      <c r="AF95" s="133">
        <f t="shared" si="35"/>
        <v>0</v>
      </c>
      <c r="AG95" s="133">
        <f t="shared" si="35"/>
        <v>0</v>
      </c>
      <c r="AH95" s="133">
        <f t="shared" si="35"/>
        <v>0</v>
      </c>
      <c r="AI95" s="133">
        <f t="shared" si="35"/>
        <v>0</v>
      </c>
    </row>
    <row r="96" spans="1:35" s="5" customFormat="1" ht="18" customHeight="1" x14ac:dyDescent="0.25">
      <c r="A96" s="147" t="s">
        <v>15</v>
      </c>
      <c r="B96" s="147"/>
      <c r="C96" s="148"/>
      <c r="D96" s="137"/>
      <c r="E96" s="122"/>
      <c r="F96" s="122">
        <f t="shared" ref="F96:AI96" si="36">IF(F$44&gt;$B$27,$B$28*F$47*F$45/1000,0)</f>
        <v>0</v>
      </c>
      <c r="G96" s="122">
        <f t="shared" si="36"/>
        <v>0</v>
      </c>
      <c r="H96" s="122">
        <f t="shared" si="36"/>
        <v>0</v>
      </c>
      <c r="I96" s="122">
        <f t="shared" si="36"/>
        <v>0</v>
      </c>
      <c r="J96" s="122">
        <f t="shared" si="36"/>
        <v>0</v>
      </c>
      <c r="K96" s="122">
        <f t="shared" si="36"/>
        <v>0</v>
      </c>
      <c r="L96" s="122">
        <f t="shared" si="36"/>
        <v>0</v>
      </c>
      <c r="M96" s="122">
        <f t="shared" si="36"/>
        <v>0</v>
      </c>
      <c r="N96" s="122">
        <f t="shared" si="36"/>
        <v>0</v>
      </c>
      <c r="O96" s="122">
        <f t="shared" si="36"/>
        <v>0</v>
      </c>
      <c r="P96" s="122">
        <f t="shared" si="36"/>
        <v>0</v>
      </c>
      <c r="Q96" s="122">
        <f t="shared" si="36"/>
        <v>0</v>
      </c>
      <c r="R96" s="122">
        <f t="shared" si="36"/>
        <v>0</v>
      </c>
      <c r="S96" s="122">
        <f t="shared" si="36"/>
        <v>0</v>
      </c>
      <c r="T96" s="122">
        <f t="shared" si="36"/>
        <v>0</v>
      </c>
      <c r="U96" s="122">
        <f t="shared" si="36"/>
        <v>0</v>
      </c>
      <c r="V96" s="122">
        <f t="shared" si="36"/>
        <v>0</v>
      </c>
      <c r="W96" s="122">
        <f t="shared" si="36"/>
        <v>0</v>
      </c>
      <c r="X96" s="122">
        <f t="shared" si="36"/>
        <v>0</v>
      </c>
      <c r="Y96" s="122">
        <f t="shared" si="36"/>
        <v>0</v>
      </c>
      <c r="Z96" s="122">
        <f t="shared" si="36"/>
        <v>0</v>
      </c>
      <c r="AA96" s="122">
        <f t="shared" si="36"/>
        <v>0</v>
      </c>
      <c r="AB96" s="122">
        <f t="shared" si="36"/>
        <v>0</v>
      </c>
      <c r="AC96" s="122">
        <f t="shared" si="36"/>
        <v>0</v>
      </c>
      <c r="AD96" s="122">
        <f t="shared" si="36"/>
        <v>0</v>
      </c>
      <c r="AE96" s="122">
        <f t="shared" si="36"/>
        <v>0</v>
      </c>
      <c r="AF96" s="122">
        <f t="shared" si="36"/>
        <v>0</v>
      </c>
      <c r="AG96" s="122">
        <f t="shared" si="36"/>
        <v>0</v>
      </c>
      <c r="AH96" s="122">
        <f t="shared" si="36"/>
        <v>0</v>
      </c>
      <c r="AI96" s="122">
        <f t="shared" si="36"/>
        <v>0</v>
      </c>
    </row>
    <row r="97" spans="1:35" s="5" customFormat="1" ht="18" customHeight="1" x14ac:dyDescent="0.25">
      <c r="A97" s="146" t="s">
        <v>97</v>
      </c>
      <c r="B97" s="146"/>
      <c r="C97" s="122"/>
      <c r="D97" s="137"/>
      <c r="E97" s="122"/>
      <c r="F97" s="133">
        <f t="shared" ref="F97:AI97" si="37">-($B$36*F94)*F$47</f>
        <v>0</v>
      </c>
      <c r="G97" s="133">
        <f t="shared" si="37"/>
        <v>0</v>
      </c>
      <c r="H97" s="133">
        <f t="shared" si="37"/>
        <v>0</v>
      </c>
      <c r="I97" s="133">
        <f t="shared" si="37"/>
        <v>0</v>
      </c>
      <c r="J97" s="133">
        <f t="shared" si="37"/>
        <v>0</v>
      </c>
      <c r="K97" s="133">
        <f t="shared" si="37"/>
        <v>0</v>
      </c>
      <c r="L97" s="133">
        <f t="shared" si="37"/>
        <v>0</v>
      </c>
      <c r="M97" s="133">
        <f t="shared" si="37"/>
        <v>0</v>
      </c>
      <c r="N97" s="133">
        <f t="shared" si="37"/>
        <v>0</v>
      </c>
      <c r="O97" s="133">
        <f t="shared" si="37"/>
        <v>0</v>
      </c>
      <c r="P97" s="133">
        <f t="shared" si="37"/>
        <v>0</v>
      </c>
      <c r="Q97" s="133">
        <f t="shared" si="37"/>
        <v>0</v>
      </c>
      <c r="R97" s="133">
        <f t="shared" si="37"/>
        <v>0</v>
      </c>
      <c r="S97" s="133">
        <f t="shared" si="37"/>
        <v>0</v>
      </c>
      <c r="T97" s="133">
        <f t="shared" si="37"/>
        <v>0</v>
      </c>
      <c r="U97" s="133">
        <f t="shared" si="37"/>
        <v>0</v>
      </c>
      <c r="V97" s="133">
        <f t="shared" si="37"/>
        <v>0</v>
      </c>
      <c r="W97" s="133">
        <f t="shared" si="37"/>
        <v>0</v>
      </c>
      <c r="X97" s="133">
        <f t="shared" si="37"/>
        <v>0</v>
      </c>
      <c r="Y97" s="133">
        <f t="shared" si="37"/>
        <v>0</v>
      </c>
      <c r="Z97" s="133">
        <f t="shared" si="37"/>
        <v>0</v>
      </c>
      <c r="AA97" s="133">
        <f t="shared" si="37"/>
        <v>0</v>
      </c>
      <c r="AB97" s="133">
        <f t="shared" si="37"/>
        <v>0</v>
      </c>
      <c r="AC97" s="133">
        <f t="shared" si="37"/>
        <v>0</v>
      </c>
      <c r="AD97" s="133">
        <f t="shared" si="37"/>
        <v>0</v>
      </c>
      <c r="AE97" s="133">
        <f t="shared" si="37"/>
        <v>0</v>
      </c>
      <c r="AF97" s="133">
        <f t="shared" si="37"/>
        <v>0</v>
      </c>
      <c r="AG97" s="133">
        <f t="shared" si="37"/>
        <v>0</v>
      </c>
      <c r="AH97" s="133">
        <f t="shared" si="37"/>
        <v>0</v>
      </c>
      <c r="AI97" s="133">
        <f t="shared" si="37"/>
        <v>0</v>
      </c>
    </row>
    <row r="98" spans="1:35" s="5" customFormat="1" ht="18" customHeight="1" x14ac:dyDescent="0.25">
      <c r="A98" s="132" t="s">
        <v>108</v>
      </c>
      <c r="B98" s="146"/>
      <c r="C98" s="122"/>
      <c r="D98" s="137"/>
      <c r="E98" s="133"/>
      <c r="F98" s="133">
        <f t="shared" ref="F98:AI98" si="38">IF(F$44&lt;=projectlife,-$B$38*F$47,0)</f>
        <v>0</v>
      </c>
      <c r="G98" s="133">
        <f t="shared" si="38"/>
        <v>0</v>
      </c>
      <c r="H98" s="133">
        <f t="shared" si="38"/>
        <v>0</v>
      </c>
      <c r="I98" s="133">
        <f t="shared" si="38"/>
        <v>0</v>
      </c>
      <c r="J98" s="133">
        <f t="shared" si="38"/>
        <v>0</v>
      </c>
      <c r="K98" s="133">
        <f t="shared" si="38"/>
        <v>0</v>
      </c>
      <c r="L98" s="133">
        <f t="shared" si="38"/>
        <v>0</v>
      </c>
      <c r="M98" s="133">
        <f t="shared" si="38"/>
        <v>0</v>
      </c>
      <c r="N98" s="133">
        <f t="shared" si="38"/>
        <v>0</v>
      </c>
      <c r="O98" s="133">
        <f t="shared" si="38"/>
        <v>0</v>
      </c>
      <c r="P98" s="133">
        <f t="shared" si="38"/>
        <v>0</v>
      </c>
      <c r="Q98" s="133">
        <f t="shared" si="38"/>
        <v>0</v>
      </c>
      <c r="R98" s="133">
        <f t="shared" si="38"/>
        <v>0</v>
      </c>
      <c r="S98" s="133">
        <f t="shared" si="38"/>
        <v>0</v>
      </c>
      <c r="T98" s="133">
        <f t="shared" si="38"/>
        <v>0</v>
      </c>
      <c r="U98" s="133">
        <f t="shared" si="38"/>
        <v>0</v>
      </c>
      <c r="V98" s="133">
        <f t="shared" si="38"/>
        <v>0</v>
      </c>
      <c r="W98" s="133">
        <f t="shared" si="38"/>
        <v>0</v>
      </c>
      <c r="X98" s="133">
        <f t="shared" si="38"/>
        <v>0</v>
      </c>
      <c r="Y98" s="133">
        <f t="shared" si="38"/>
        <v>0</v>
      </c>
      <c r="Z98" s="133">
        <f t="shared" si="38"/>
        <v>0</v>
      </c>
      <c r="AA98" s="133">
        <f t="shared" si="38"/>
        <v>0</v>
      </c>
      <c r="AB98" s="133">
        <f t="shared" si="38"/>
        <v>0</v>
      </c>
      <c r="AC98" s="133">
        <f t="shared" si="38"/>
        <v>0</v>
      </c>
      <c r="AD98" s="133">
        <f t="shared" si="38"/>
        <v>0</v>
      </c>
      <c r="AE98" s="133">
        <f t="shared" si="38"/>
        <v>0</v>
      </c>
      <c r="AF98" s="133">
        <f t="shared" si="38"/>
        <v>0</v>
      </c>
      <c r="AG98" s="133">
        <f t="shared" si="38"/>
        <v>0</v>
      </c>
      <c r="AH98" s="133">
        <f t="shared" si="38"/>
        <v>0</v>
      </c>
      <c r="AI98" s="133">
        <f t="shared" si="38"/>
        <v>0</v>
      </c>
    </row>
    <row r="99" spans="1:35" s="5" customFormat="1" ht="18" customHeight="1" x14ac:dyDescent="0.25">
      <c r="A99" s="125" t="s">
        <v>98</v>
      </c>
      <c r="B99" s="125"/>
      <c r="C99" s="122"/>
      <c r="D99" s="137"/>
      <c r="E99" s="122"/>
      <c r="F99" s="122">
        <f t="shared" ref="F99" si="39">SUM(F95:F98)</f>
        <v>0</v>
      </c>
      <c r="G99" s="122">
        <f t="shared" ref="G99:AI99" si="40">SUM(G95:G98)</f>
        <v>0</v>
      </c>
      <c r="H99" s="122">
        <f t="shared" si="40"/>
        <v>0</v>
      </c>
      <c r="I99" s="122">
        <f t="shared" si="40"/>
        <v>0</v>
      </c>
      <c r="J99" s="122">
        <f t="shared" si="40"/>
        <v>0</v>
      </c>
      <c r="K99" s="122">
        <f t="shared" si="40"/>
        <v>0</v>
      </c>
      <c r="L99" s="122">
        <f t="shared" si="40"/>
        <v>0</v>
      </c>
      <c r="M99" s="122">
        <f t="shared" si="40"/>
        <v>0</v>
      </c>
      <c r="N99" s="122">
        <f t="shared" si="40"/>
        <v>0</v>
      </c>
      <c r="O99" s="122">
        <f t="shared" si="40"/>
        <v>0</v>
      </c>
      <c r="P99" s="122">
        <f t="shared" si="40"/>
        <v>0</v>
      </c>
      <c r="Q99" s="122">
        <f t="shared" si="40"/>
        <v>0</v>
      </c>
      <c r="R99" s="122">
        <f t="shared" si="40"/>
        <v>0</v>
      </c>
      <c r="S99" s="122">
        <f t="shared" si="40"/>
        <v>0</v>
      </c>
      <c r="T99" s="122">
        <f t="shared" si="40"/>
        <v>0</v>
      </c>
      <c r="U99" s="122">
        <f t="shared" si="40"/>
        <v>0</v>
      </c>
      <c r="V99" s="122">
        <f t="shared" si="40"/>
        <v>0</v>
      </c>
      <c r="W99" s="122">
        <f t="shared" si="40"/>
        <v>0</v>
      </c>
      <c r="X99" s="122">
        <f t="shared" si="40"/>
        <v>0</v>
      </c>
      <c r="Y99" s="122">
        <f t="shared" si="40"/>
        <v>0</v>
      </c>
      <c r="Z99" s="122">
        <f t="shared" si="40"/>
        <v>0</v>
      </c>
      <c r="AA99" s="122">
        <f t="shared" si="40"/>
        <v>0</v>
      </c>
      <c r="AB99" s="122">
        <f t="shared" si="40"/>
        <v>0</v>
      </c>
      <c r="AC99" s="122">
        <f t="shared" si="40"/>
        <v>0</v>
      </c>
      <c r="AD99" s="122">
        <f t="shared" si="40"/>
        <v>0</v>
      </c>
      <c r="AE99" s="122">
        <f t="shared" si="40"/>
        <v>0</v>
      </c>
      <c r="AF99" s="122">
        <f t="shared" si="40"/>
        <v>0</v>
      </c>
      <c r="AG99" s="122">
        <f t="shared" si="40"/>
        <v>0</v>
      </c>
      <c r="AH99" s="122">
        <f t="shared" si="40"/>
        <v>0</v>
      </c>
      <c r="AI99" s="122">
        <f t="shared" si="40"/>
        <v>0</v>
      </c>
    </row>
    <row r="100" spans="1:35" s="5" customFormat="1" ht="18" customHeight="1" x14ac:dyDescent="0.25">
      <c r="A100" s="146" t="s">
        <v>32</v>
      </c>
      <c r="B100" s="146"/>
      <c r="C100" s="122"/>
      <c r="D100" s="137"/>
      <c r="E100" s="122"/>
      <c r="F100" s="122">
        <f t="shared" ref="F100:AI100" si="41">IF(ProjectYear&lt;=projectlife,-OpCost_Yr*F$47*(1+OpCostAdj_Yr)^(ProjectYear-1),0)</f>
        <v>0</v>
      </c>
      <c r="G100" s="122">
        <f t="shared" si="41"/>
        <v>0</v>
      </c>
      <c r="H100" s="122">
        <f t="shared" si="41"/>
        <v>0</v>
      </c>
      <c r="I100" s="122">
        <f t="shared" si="41"/>
        <v>0</v>
      </c>
      <c r="J100" s="122">
        <f t="shared" si="41"/>
        <v>0</v>
      </c>
      <c r="K100" s="122">
        <f t="shared" si="41"/>
        <v>0</v>
      </c>
      <c r="L100" s="122">
        <f t="shared" si="41"/>
        <v>0</v>
      </c>
      <c r="M100" s="122">
        <f t="shared" si="41"/>
        <v>0</v>
      </c>
      <c r="N100" s="122">
        <f t="shared" si="41"/>
        <v>0</v>
      </c>
      <c r="O100" s="122">
        <f t="shared" si="41"/>
        <v>0</v>
      </c>
      <c r="P100" s="122">
        <f t="shared" si="41"/>
        <v>0</v>
      </c>
      <c r="Q100" s="122">
        <f t="shared" si="41"/>
        <v>0</v>
      </c>
      <c r="R100" s="122">
        <f t="shared" si="41"/>
        <v>0</v>
      </c>
      <c r="S100" s="122">
        <f t="shared" si="41"/>
        <v>0</v>
      </c>
      <c r="T100" s="122">
        <f t="shared" si="41"/>
        <v>0</v>
      </c>
      <c r="U100" s="122">
        <f t="shared" si="41"/>
        <v>0</v>
      </c>
      <c r="V100" s="122">
        <f t="shared" si="41"/>
        <v>0</v>
      </c>
      <c r="W100" s="122">
        <f t="shared" si="41"/>
        <v>0</v>
      </c>
      <c r="X100" s="122">
        <f t="shared" si="41"/>
        <v>0</v>
      </c>
      <c r="Y100" s="122">
        <f t="shared" si="41"/>
        <v>0</v>
      </c>
      <c r="Z100" s="122">
        <f t="shared" si="41"/>
        <v>0</v>
      </c>
      <c r="AA100" s="122">
        <f t="shared" si="41"/>
        <v>0</v>
      </c>
      <c r="AB100" s="122">
        <f t="shared" si="41"/>
        <v>0</v>
      </c>
      <c r="AC100" s="122">
        <f t="shared" si="41"/>
        <v>0</v>
      </c>
      <c r="AD100" s="122">
        <f t="shared" si="41"/>
        <v>0</v>
      </c>
      <c r="AE100" s="122">
        <f t="shared" si="41"/>
        <v>0</v>
      </c>
      <c r="AF100" s="122">
        <f t="shared" si="41"/>
        <v>0</v>
      </c>
      <c r="AG100" s="122">
        <f t="shared" si="41"/>
        <v>0</v>
      </c>
      <c r="AH100" s="122">
        <f t="shared" si="41"/>
        <v>0</v>
      </c>
      <c r="AI100" s="122">
        <f t="shared" si="41"/>
        <v>0</v>
      </c>
    </row>
    <row r="101" spans="1:35" s="5" customFormat="1" ht="18" customHeight="1" x14ac:dyDescent="0.25">
      <c r="A101" s="147" t="s">
        <v>30</v>
      </c>
      <c r="B101" s="147"/>
      <c r="C101" s="122"/>
      <c r="D101" s="137"/>
      <c r="E101" s="122"/>
      <c r="F101" s="122">
        <f t="shared" ref="F101:AI101" si="42">IF(ProjectYear&lt;=projectlife,IF(F$44/ReplaceInverterYear=ROUND(F$44/ReplaceInverterYear,0),-InverterReplaceCost*SystemSize*F$47,0),0)</f>
        <v>0</v>
      </c>
      <c r="G101" s="122">
        <f t="shared" si="42"/>
        <v>0</v>
      </c>
      <c r="H101" s="122">
        <f t="shared" si="42"/>
        <v>0</v>
      </c>
      <c r="I101" s="122">
        <f t="shared" si="42"/>
        <v>0</v>
      </c>
      <c r="J101" s="122">
        <f t="shared" si="42"/>
        <v>0</v>
      </c>
      <c r="K101" s="122">
        <f t="shared" si="42"/>
        <v>0</v>
      </c>
      <c r="L101" s="122">
        <f t="shared" si="42"/>
        <v>0</v>
      </c>
      <c r="M101" s="122">
        <f t="shared" si="42"/>
        <v>0</v>
      </c>
      <c r="N101" s="122">
        <f t="shared" si="42"/>
        <v>0</v>
      </c>
      <c r="O101" s="122">
        <f t="shared" si="42"/>
        <v>0</v>
      </c>
      <c r="P101" s="122">
        <f t="shared" si="42"/>
        <v>0</v>
      </c>
      <c r="Q101" s="122">
        <f t="shared" si="42"/>
        <v>0</v>
      </c>
      <c r="R101" s="122">
        <f t="shared" si="42"/>
        <v>0</v>
      </c>
      <c r="S101" s="122">
        <f t="shared" si="42"/>
        <v>0</v>
      </c>
      <c r="T101" s="122">
        <f t="shared" si="42"/>
        <v>0</v>
      </c>
      <c r="U101" s="122">
        <f t="shared" si="42"/>
        <v>0</v>
      </c>
      <c r="V101" s="122">
        <f t="shared" si="42"/>
        <v>0</v>
      </c>
      <c r="W101" s="122">
        <f t="shared" si="42"/>
        <v>0</v>
      </c>
      <c r="X101" s="122">
        <f t="shared" si="42"/>
        <v>0</v>
      </c>
      <c r="Y101" s="122">
        <f t="shared" si="42"/>
        <v>0</v>
      </c>
      <c r="Z101" s="122">
        <f t="shared" si="42"/>
        <v>0</v>
      </c>
      <c r="AA101" s="122">
        <f t="shared" si="42"/>
        <v>0</v>
      </c>
      <c r="AB101" s="122">
        <f t="shared" si="42"/>
        <v>0</v>
      </c>
      <c r="AC101" s="122">
        <f t="shared" si="42"/>
        <v>0</v>
      </c>
      <c r="AD101" s="122">
        <f t="shared" si="42"/>
        <v>0</v>
      </c>
      <c r="AE101" s="122">
        <f t="shared" si="42"/>
        <v>0</v>
      </c>
      <c r="AF101" s="122">
        <f t="shared" si="42"/>
        <v>0</v>
      </c>
      <c r="AG101" s="122">
        <f t="shared" si="42"/>
        <v>0</v>
      </c>
      <c r="AH101" s="122">
        <f t="shared" si="42"/>
        <v>0</v>
      </c>
      <c r="AI101" s="122">
        <f t="shared" si="42"/>
        <v>0</v>
      </c>
    </row>
    <row r="102" spans="1:35" s="5" customFormat="1" ht="18" customHeight="1" x14ac:dyDescent="0.25">
      <c r="A102" s="125" t="s">
        <v>33</v>
      </c>
      <c r="B102" s="125"/>
      <c r="C102" s="122"/>
      <c r="D102" s="137"/>
      <c r="E102" s="122"/>
      <c r="F102" s="122">
        <f>F100+F101</f>
        <v>0</v>
      </c>
      <c r="G102" s="122">
        <f t="shared" ref="G102:AI102" si="43">G100+G101</f>
        <v>0</v>
      </c>
      <c r="H102" s="122">
        <f t="shared" si="43"/>
        <v>0</v>
      </c>
      <c r="I102" s="122">
        <f t="shared" si="43"/>
        <v>0</v>
      </c>
      <c r="J102" s="122">
        <f t="shared" si="43"/>
        <v>0</v>
      </c>
      <c r="K102" s="122">
        <f t="shared" si="43"/>
        <v>0</v>
      </c>
      <c r="L102" s="122">
        <f t="shared" si="43"/>
        <v>0</v>
      </c>
      <c r="M102" s="122">
        <f t="shared" si="43"/>
        <v>0</v>
      </c>
      <c r="N102" s="122">
        <f t="shared" si="43"/>
        <v>0</v>
      </c>
      <c r="O102" s="122">
        <f t="shared" si="43"/>
        <v>0</v>
      </c>
      <c r="P102" s="122">
        <f t="shared" si="43"/>
        <v>0</v>
      </c>
      <c r="Q102" s="122">
        <f t="shared" si="43"/>
        <v>0</v>
      </c>
      <c r="R102" s="122">
        <f t="shared" si="43"/>
        <v>0</v>
      </c>
      <c r="S102" s="122">
        <f t="shared" si="43"/>
        <v>0</v>
      </c>
      <c r="T102" s="122">
        <f t="shared" si="43"/>
        <v>0</v>
      </c>
      <c r="U102" s="122">
        <f t="shared" si="43"/>
        <v>0</v>
      </c>
      <c r="V102" s="122">
        <f t="shared" si="43"/>
        <v>0</v>
      </c>
      <c r="W102" s="122">
        <f t="shared" si="43"/>
        <v>0</v>
      </c>
      <c r="X102" s="122">
        <f t="shared" si="43"/>
        <v>0</v>
      </c>
      <c r="Y102" s="122">
        <f t="shared" si="43"/>
        <v>0</v>
      </c>
      <c r="Z102" s="122">
        <f t="shared" si="43"/>
        <v>0</v>
      </c>
      <c r="AA102" s="122">
        <f t="shared" si="43"/>
        <v>0</v>
      </c>
      <c r="AB102" s="122">
        <f t="shared" si="43"/>
        <v>0</v>
      </c>
      <c r="AC102" s="122">
        <f t="shared" si="43"/>
        <v>0</v>
      </c>
      <c r="AD102" s="122">
        <f t="shared" si="43"/>
        <v>0</v>
      </c>
      <c r="AE102" s="122">
        <f t="shared" si="43"/>
        <v>0</v>
      </c>
      <c r="AF102" s="122">
        <f t="shared" si="43"/>
        <v>0</v>
      </c>
      <c r="AG102" s="122">
        <f t="shared" si="43"/>
        <v>0</v>
      </c>
      <c r="AH102" s="122">
        <f t="shared" si="43"/>
        <v>0</v>
      </c>
      <c r="AI102" s="122">
        <f t="shared" si="43"/>
        <v>0</v>
      </c>
    </row>
    <row r="103" spans="1:35" s="5" customFormat="1" ht="18" customHeight="1" x14ac:dyDescent="0.25">
      <c r="A103" s="149" t="s">
        <v>99</v>
      </c>
      <c r="B103" s="149" t="s">
        <v>35</v>
      </c>
      <c r="C103" s="122"/>
      <c r="D103" s="137"/>
      <c r="E103" s="122"/>
      <c r="F103" s="122">
        <f t="shared" ref="F103:G103" si="44">F99+F102</f>
        <v>0</v>
      </c>
      <c r="G103" s="122">
        <f t="shared" si="44"/>
        <v>0</v>
      </c>
      <c r="H103" s="122">
        <f>H99+H102</f>
        <v>0</v>
      </c>
      <c r="I103" s="122">
        <f t="shared" ref="I103:AI103" si="45">I99+I102</f>
        <v>0</v>
      </c>
      <c r="J103" s="122">
        <f t="shared" si="45"/>
        <v>0</v>
      </c>
      <c r="K103" s="122">
        <f t="shared" si="45"/>
        <v>0</v>
      </c>
      <c r="L103" s="122">
        <f t="shared" si="45"/>
        <v>0</v>
      </c>
      <c r="M103" s="122">
        <f t="shared" si="45"/>
        <v>0</v>
      </c>
      <c r="N103" s="122">
        <f t="shared" si="45"/>
        <v>0</v>
      </c>
      <c r="O103" s="122">
        <f t="shared" si="45"/>
        <v>0</v>
      </c>
      <c r="P103" s="122">
        <f t="shared" si="45"/>
        <v>0</v>
      </c>
      <c r="Q103" s="122">
        <f t="shared" si="45"/>
        <v>0</v>
      </c>
      <c r="R103" s="122">
        <f t="shared" si="45"/>
        <v>0</v>
      </c>
      <c r="S103" s="122">
        <f t="shared" si="45"/>
        <v>0</v>
      </c>
      <c r="T103" s="122">
        <f t="shared" si="45"/>
        <v>0</v>
      </c>
      <c r="U103" s="122">
        <f t="shared" si="45"/>
        <v>0</v>
      </c>
      <c r="V103" s="122">
        <f t="shared" si="45"/>
        <v>0</v>
      </c>
      <c r="W103" s="122">
        <f t="shared" si="45"/>
        <v>0</v>
      </c>
      <c r="X103" s="122">
        <f t="shared" si="45"/>
        <v>0</v>
      </c>
      <c r="Y103" s="122">
        <f t="shared" si="45"/>
        <v>0</v>
      </c>
      <c r="Z103" s="122">
        <f t="shared" si="45"/>
        <v>0</v>
      </c>
      <c r="AA103" s="122">
        <f t="shared" si="45"/>
        <v>0</v>
      </c>
      <c r="AB103" s="122">
        <f t="shared" si="45"/>
        <v>0</v>
      </c>
      <c r="AC103" s="122">
        <f t="shared" si="45"/>
        <v>0</v>
      </c>
      <c r="AD103" s="122">
        <f t="shared" si="45"/>
        <v>0</v>
      </c>
      <c r="AE103" s="122">
        <f t="shared" si="45"/>
        <v>0</v>
      </c>
      <c r="AF103" s="122">
        <f t="shared" si="45"/>
        <v>0</v>
      </c>
      <c r="AG103" s="122">
        <f t="shared" si="45"/>
        <v>0</v>
      </c>
      <c r="AH103" s="122">
        <f t="shared" si="45"/>
        <v>0</v>
      </c>
      <c r="AI103" s="122">
        <f t="shared" si="45"/>
        <v>0</v>
      </c>
    </row>
    <row r="104" spans="1:35" s="5" customFormat="1" ht="18" customHeight="1" x14ac:dyDescent="0.25">
      <c r="A104" s="147" t="s">
        <v>56</v>
      </c>
      <c r="B104" s="147"/>
      <c r="C104" s="122"/>
      <c r="D104" s="137"/>
      <c r="E104" s="122"/>
      <c r="F104" s="122">
        <f>IF($B$9="Non-Taxable",0,-(AssetBasis)*F$47*DEP_01)</f>
        <v>0</v>
      </c>
      <c r="G104" s="122">
        <f>IF($B$9="Non-Taxable",0,-(AssetBasis)*G$47*Dep_02)</f>
        <v>0</v>
      </c>
      <c r="H104" s="122">
        <f>IF($B$9="Non-Taxable",0,-(AssetBasis)*H$47*Dep_03)</f>
        <v>0</v>
      </c>
      <c r="I104" s="122">
        <f>IF($B$9="Non-Taxable",0,-(AssetBasis)*I$47*DEP_04)</f>
        <v>0</v>
      </c>
      <c r="J104" s="122">
        <f>IF($B$9="Non-Taxable",0,-(AssetBasis)*J$47*DEP_05)</f>
        <v>0</v>
      </c>
      <c r="K104" s="122">
        <f>IF($B$9="Non-Taxable",0,-(AssetBasis)*K$47*DEP_06)</f>
        <v>0</v>
      </c>
      <c r="L104" s="122">
        <f>IF($B$9="Non-Taxable",0,-(AssetBasis)*L$47*DEP_07)</f>
        <v>0</v>
      </c>
      <c r="M104" s="122">
        <f>IF($B$9="Non-Taxable",0,-(AssetBasis)*M$47*DEP_08)</f>
        <v>0</v>
      </c>
      <c r="N104" s="122">
        <f>IF($B$9="Non-Taxable",0,-(AssetBasis)*N$47*DEP_09)</f>
        <v>0</v>
      </c>
      <c r="O104" s="122">
        <f>IF($B$9="Non-Taxable",0,-(AssetBasis)*O$47*DEP_10)</f>
        <v>0</v>
      </c>
      <c r="P104" s="122">
        <f>IF($B$9="Non-Taxable",0,-(AssetBasis)*P$47*DEP_11)</f>
        <v>0</v>
      </c>
      <c r="Q104" s="122">
        <f>IF($B$9="Non-Taxable",0,-(AssetBasis)*Q$47*DEP_12)</f>
        <v>0</v>
      </c>
      <c r="R104" s="122">
        <f>IF($B$9="Non-Taxable",0,-(AssetBasis)*R$47*DEP_13)</f>
        <v>0</v>
      </c>
      <c r="S104" s="122">
        <f>IF($B$9="Non-Taxable",0,-(AssetBasis)*S$47*DEP_14)</f>
        <v>0</v>
      </c>
      <c r="T104" s="122">
        <f>IF($B$9="Non-Taxable",0,-(AssetBasis)*T$47*DEP_15)</f>
        <v>0</v>
      </c>
      <c r="U104" s="122">
        <f>IF($B$9="Non-Taxable",0,-(AssetBasis)*U$47*DEP_16)</f>
        <v>0</v>
      </c>
      <c r="V104" s="122">
        <f>IF($B$9="Non-Taxable",0,-(AssetBasis)*V$47*DEP_17)</f>
        <v>0</v>
      </c>
      <c r="W104" s="122">
        <f>IF($B$9="Non-Taxable",0,-(AssetBasis)*W$47*DEP_18)</f>
        <v>0</v>
      </c>
      <c r="X104" s="122">
        <f>IF($B$9="Non-Taxable",0,-(AssetBasis)*X$47*DEP_19)</f>
        <v>0</v>
      </c>
      <c r="Y104" s="122">
        <f>IF($B$9="Non-Taxable",0,-(AssetBasis)*Y$47*DEP_20)</f>
        <v>0</v>
      </c>
      <c r="Z104" s="122">
        <f>IF($B$9="Non-Taxable",0,-(AssetBasis)*Z$47*DEP_21)</f>
        <v>0</v>
      </c>
      <c r="AA104" s="122">
        <f>IF($B$9="Non-Taxable",0,-(AssetBasis)*AA$47*DEP_22)</f>
        <v>0</v>
      </c>
      <c r="AB104" s="122">
        <f>IF($B$9="Non-Taxable",0,-(AssetBasis)*AB$47*DEP_23)</f>
        <v>0</v>
      </c>
      <c r="AC104" s="122">
        <f>IF($B$9="Non-Taxable",0,-(AssetBasis)*AC$47*DEP_24)</f>
        <v>0</v>
      </c>
      <c r="AD104" s="122">
        <f>IF($B$9="Non-Taxable",0,-(AssetBasis)*AD$47*DEP_25)</f>
        <v>0</v>
      </c>
      <c r="AE104" s="122">
        <f>IF($B$9="Non-Taxable",0,-(AssetBasis)*AE$47*DEP_26)</f>
        <v>0</v>
      </c>
      <c r="AF104" s="122">
        <f>IF($B$9="Non-Taxable",0,-(AssetBasis)*AF$47*DEP_27)</f>
        <v>0</v>
      </c>
      <c r="AG104" s="122">
        <f>IF($B$9="Non-Taxable",0,-(AssetBasis)*AG$47*DEP_28)</f>
        <v>0</v>
      </c>
      <c r="AH104" s="122">
        <f>IF($B$9="Non-Taxable",0,-(AssetBasis)*AH$47*DEP_29)</f>
        <v>0</v>
      </c>
      <c r="AI104" s="122">
        <f>IF($B$9="Non-Taxable",0,-(AssetBasis)*AI$47*DEP_30)</f>
        <v>0</v>
      </c>
    </row>
    <row r="105" spans="1:35" s="5" customFormat="1" ht="18" customHeight="1" x14ac:dyDescent="0.25">
      <c r="A105" s="149"/>
      <c r="B105" s="149" t="s">
        <v>37</v>
      </c>
      <c r="C105" s="122"/>
      <c r="D105" s="137"/>
      <c r="E105" s="122"/>
      <c r="F105" s="122">
        <f>SUM(F103:F104)</f>
        <v>0</v>
      </c>
      <c r="G105" s="122">
        <f t="shared" ref="G105:J105" si="46">SUM(G103:G104)</f>
        <v>0</v>
      </c>
      <c r="H105" s="122">
        <f t="shared" si="46"/>
        <v>0</v>
      </c>
      <c r="I105" s="122">
        <f t="shared" si="46"/>
        <v>0</v>
      </c>
      <c r="J105" s="122">
        <f t="shared" si="46"/>
        <v>0</v>
      </c>
      <c r="K105" s="122">
        <f>SUM(K103:K104)</f>
        <v>0</v>
      </c>
      <c r="L105" s="122">
        <f t="shared" ref="L105:AI105" si="47">SUM(L103:L104)</f>
        <v>0</v>
      </c>
      <c r="M105" s="122">
        <f t="shared" si="47"/>
        <v>0</v>
      </c>
      <c r="N105" s="122">
        <f t="shared" si="47"/>
        <v>0</v>
      </c>
      <c r="O105" s="122">
        <f t="shared" si="47"/>
        <v>0</v>
      </c>
      <c r="P105" s="122">
        <f t="shared" si="47"/>
        <v>0</v>
      </c>
      <c r="Q105" s="122">
        <f t="shared" si="47"/>
        <v>0</v>
      </c>
      <c r="R105" s="122">
        <f t="shared" si="47"/>
        <v>0</v>
      </c>
      <c r="S105" s="122">
        <f t="shared" si="47"/>
        <v>0</v>
      </c>
      <c r="T105" s="122">
        <f t="shared" si="47"/>
        <v>0</v>
      </c>
      <c r="U105" s="122">
        <f t="shared" si="47"/>
        <v>0</v>
      </c>
      <c r="V105" s="122">
        <f t="shared" si="47"/>
        <v>0</v>
      </c>
      <c r="W105" s="122">
        <f t="shared" si="47"/>
        <v>0</v>
      </c>
      <c r="X105" s="122">
        <f t="shared" si="47"/>
        <v>0</v>
      </c>
      <c r="Y105" s="122">
        <f t="shared" si="47"/>
        <v>0</v>
      </c>
      <c r="Z105" s="122">
        <f t="shared" si="47"/>
        <v>0</v>
      </c>
      <c r="AA105" s="122">
        <f t="shared" si="47"/>
        <v>0</v>
      </c>
      <c r="AB105" s="122">
        <f t="shared" si="47"/>
        <v>0</v>
      </c>
      <c r="AC105" s="122">
        <f t="shared" si="47"/>
        <v>0</v>
      </c>
      <c r="AD105" s="122">
        <f t="shared" si="47"/>
        <v>0</v>
      </c>
      <c r="AE105" s="122">
        <f t="shared" si="47"/>
        <v>0</v>
      </c>
      <c r="AF105" s="122">
        <f t="shared" si="47"/>
        <v>0</v>
      </c>
      <c r="AG105" s="122">
        <f t="shared" si="47"/>
        <v>0</v>
      </c>
      <c r="AH105" s="122">
        <f t="shared" si="47"/>
        <v>0</v>
      </c>
      <c r="AI105" s="122">
        <f t="shared" si="47"/>
        <v>0</v>
      </c>
    </row>
    <row r="106" spans="1:35" s="5" customFormat="1" ht="18" customHeight="1" x14ac:dyDescent="0.25">
      <c r="A106" s="147" t="s">
        <v>38</v>
      </c>
      <c r="B106" s="147"/>
      <c r="C106" s="122"/>
      <c r="D106" s="137"/>
      <c r="E106" s="122"/>
      <c r="F106" s="122">
        <f t="shared" ref="F106:AI106" si="48">F$134</f>
        <v>0</v>
      </c>
      <c r="G106" s="122">
        <f t="shared" si="48"/>
        <v>0</v>
      </c>
      <c r="H106" s="122">
        <f t="shared" si="48"/>
        <v>0</v>
      </c>
      <c r="I106" s="122">
        <f t="shared" si="48"/>
        <v>0</v>
      </c>
      <c r="J106" s="122">
        <f t="shared" si="48"/>
        <v>0</v>
      </c>
      <c r="K106" s="122">
        <f t="shared" si="48"/>
        <v>0</v>
      </c>
      <c r="L106" s="122">
        <f t="shared" si="48"/>
        <v>0</v>
      </c>
      <c r="M106" s="122">
        <f t="shared" si="48"/>
        <v>0</v>
      </c>
      <c r="N106" s="122">
        <f t="shared" si="48"/>
        <v>0</v>
      </c>
      <c r="O106" s="122">
        <f t="shared" si="48"/>
        <v>0</v>
      </c>
      <c r="P106" s="122">
        <f t="shared" si="48"/>
        <v>0</v>
      </c>
      <c r="Q106" s="122">
        <f t="shared" si="48"/>
        <v>0</v>
      </c>
      <c r="R106" s="122">
        <f t="shared" si="48"/>
        <v>0</v>
      </c>
      <c r="S106" s="122">
        <f t="shared" si="48"/>
        <v>0</v>
      </c>
      <c r="T106" s="122">
        <f t="shared" si="48"/>
        <v>0</v>
      </c>
      <c r="U106" s="122">
        <f t="shared" si="48"/>
        <v>0</v>
      </c>
      <c r="V106" s="122">
        <f t="shared" si="48"/>
        <v>0</v>
      </c>
      <c r="W106" s="122">
        <f t="shared" si="48"/>
        <v>0</v>
      </c>
      <c r="X106" s="122">
        <f t="shared" si="48"/>
        <v>0</v>
      </c>
      <c r="Y106" s="122">
        <f t="shared" si="48"/>
        <v>0</v>
      </c>
      <c r="Z106" s="122">
        <f t="shared" si="48"/>
        <v>0</v>
      </c>
      <c r="AA106" s="122">
        <f t="shared" si="48"/>
        <v>0</v>
      </c>
      <c r="AB106" s="122">
        <f t="shared" si="48"/>
        <v>0</v>
      </c>
      <c r="AC106" s="122">
        <f t="shared" si="48"/>
        <v>0</v>
      </c>
      <c r="AD106" s="122">
        <f t="shared" si="48"/>
        <v>0</v>
      </c>
      <c r="AE106" s="122">
        <f t="shared" si="48"/>
        <v>0</v>
      </c>
      <c r="AF106" s="122">
        <f t="shared" si="48"/>
        <v>0</v>
      </c>
      <c r="AG106" s="122">
        <f t="shared" si="48"/>
        <v>0</v>
      </c>
      <c r="AH106" s="122">
        <f t="shared" si="48"/>
        <v>0</v>
      </c>
      <c r="AI106" s="122">
        <f t="shared" si="48"/>
        <v>0</v>
      </c>
    </row>
    <row r="107" spans="1:35" s="5" customFormat="1" ht="18" customHeight="1" x14ac:dyDescent="0.25">
      <c r="A107" s="149"/>
      <c r="B107" s="149" t="s">
        <v>39</v>
      </c>
      <c r="C107" s="122"/>
      <c r="D107" s="137"/>
      <c r="E107" s="122"/>
      <c r="F107" s="122">
        <f>F105+F106</f>
        <v>0</v>
      </c>
      <c r="G107" s="122">
        <f t="shared" ref="G107:I107" si="49">G105+G106</f>
        <v>0</v>
      </c>
      <c r="H107" s="122">
        <f t="shared" si="49"/>
        <v>0</v>
      </c>
      <c r="I107" s="122">
        <f t="shared" si="49"/>
        <v>0</v>
      </c>
      <c r="J107" s="122">
        <f>J105+J106</f>
        <v>0</v>
      </c>
      <c r="K107" s="122">
        <f>K105+K106</f>
        <v>0</v>
      </c>
      <c r="L107" s="122">
        <f t="shared" ref="L107:AI107" si="50">L105+L106</f>
        <v>0</v>
      </c>
      <c r="M107" s="122">
        <f t="shared" si="50"/>
        <v>0</v>
      </c>
      <c r="N107" s="122">
        <f t="shared" si="50"/>
        <v>0</v>
      </c>
      <c r="O107" s="122">
        <f t="shared" si="50"/>
        <v>0</v>
      </c>
      <c r="P107" s="122">
        <f t="shared" si="50"/>
        <v>0</v>
      </c>
      <c r="Q107" s="122">
        <f t="shared" si="50"/>
        <v>0</v>
      </c>
      <c r="R107" s="122">
        <f t="shared" si="50"/>
        <v>0</v>
      </c>
      <c r="S107" s="122">
        <f t="shared" si="50"/>
        <v>0</v>
      </c>
      <c r="T107" s="122">
        <f t="shared" si="50"/>
        <v>0</v>
      </c>
      <c r="U107" s="122">
        <f t="shared" si="50"/>
        <v>0</v>
      </c>
      <c r="V107" s="122">
        <f t="shared" si="50"/>
        <v>0</v>
      </c>
      <c r="W107" s="122">
        <f t="shared" si="50"/>
        <v>0</v>
      </c>
      <c r="X107" s="122">
        <f t="shared" si="50"/>
        <v>0</v>
      </c>
      <c r="Y107" s="122">
        <f t="shared" si="50"/>
        <v>0</v>
      </c>
      <c r="Z107" s="122">
        <f t="shared" si="50"/>
        <v>0</v>
      </c>
      <c r="AA107" s="122">
        <f t="shared" si="50"/>
        <v>0</v>
      </c>
      <c r="AB107" s="122">
        <f t="shared" si="50"/>
        <v>0</v>
      </c>
      <c r="AC107" s="122">
        <f t="shared" si="50"/>
        <v>0</v>
      </c>
      <c r="AD107" s="122">
        <f t="shared" si="50"/>
        <v>0</v>
      </c>
      <c r="AE107" s="122">
        <f t="shared" si="50"/>
        <v>0</v>
      </c>
      <c r="AF107" s="122">
        <f t="shared" si="50"/>
        <v>0</v>
      </c>
      <c r="AG107" s="122">
        <f t="shared" si="50"/>
        <v>0</v>
      </c>
      <c r="AH107" s="122">
        <f t="shared" si="50"/>
        <v>0</v>
      </c>
      <c r="AI107" s="122">
        <f t="shared" si="50"/>
        <v>0</v>
      </c>
    </row>
    <row r="108" spans="1:35" s="30" customFormat="1" ht="18" customHeight="1" x14ac:dyDescent="0.25">
      <c r="A108" s="147" t="s">
        <v>57</v>
      </c>
      <c r="B108" s="147"/>
      <c r="C108" s="122"/>
      <c r="D108" s="137"/>
      <c r="E108" s="122"/>
      <c r="F108" s="122">
        <f t="shared" ref="F108:AI108" si="51">IF(taxable="Non-Taxable",0,IF(F$109&gt;=0,-F$107*FedTaxRate,(-F$107*FedTaxRate)-(F$109*FedTaxRate)))</f>
        <v>0</v>
      </c>
      <c r="G108" s="122">
        <f t="shared" si="51"/>
        <v>0</v>
      </c>
      <c r="H108" s="122">
        <f t="shared" si="51"/>
        <v>0</v>
      </c>
      <c r="I108" s="122">
        <f t="shared" si="51"/>
        <v>0</v>
      </c>
      <c r="J108" s="122">
        <f t="shared" si="51"/>
        <v>0</v>
      </c>
      <c r="K108" s="122">
        <f t="shared" si="51"/>
        <v>0</v>
      </c>
      <c r="L108" s="122">
        <f t="shared" si="51"/>
        <v>0</v>
      </c>
      <c r="M108" s="122">
        <f t="shared" si="51"/>
        <v>0</v>
      </c>
      <c r="N108" s="122">
        <f t="shared" si="51"/>
        <v>0</v>
      </c>
      <c r="O108" s="122">
        <f t="shared" si="51"/>
        <v>0</v>
      </c>
      <c r="P108" s="122">
        <f t="shared" si="51"/>
        <v>0</v>
      </c>
      <c r="Q108" s="122">
        <f t="shared" si="51"/>
        <v>0</v>
      </c>
      <c r="R108" s="122">
        <f t="shared" si="51"/>
        <v>0</v>
      </c>
      <c r="S108" s="122">
        <f t="shared" si="51"/>
        <v>0</v>
      </c>
      <c r="T108" s="122">
        <f t="shared" si="51"/>
        <v>0</v>
      </c>
      <c r="U108" s="122">
        <f t="shared" si="51"/>
        <v>0</v>
      </c>
      <c r="V108" s="122">
        <f t="shared" si="51"/>
        <v>0</v>
      </c>
      <c r="W108" s="122">
        <f t="shared" si="51"/>
        <v>0</v>
      </c>
      <c r="X108" s="122">
        <f t="shared" si="51"/>
        <v>0</v>
      </c>
      <c r="Y108" s="122">
        <f t="shared" si="51"/>
        <v>0</v>
      </c>
      <c r="Z108" s="122">
        <f t="shared" si="51"/>
        <v>0</v>
      </c>
      <c r="AA108" s="122">
        <f t="shared" si="51"/>
        <v>0</v>
      </c>
      <c r="AB108" s="122">
        <f t="shared" si="51"/>
        <v>0</v>
      </c>
      <c r="AC108" s="122">
        <f t="shared" si="51"/>
        <v>0</v>
      </c>
      <c r="AD108" s="122">
        <f t="shared" si="51"/>
        <v>0</v>
      </c>
      <c r="AE108" s="122">
        <f t="shared" si="51"/>
        <v>0</v>
      </c>
      <c r="AF108" s="122">
        <f t="shared" si="51"/>
        <v>0</v>
      </c>
      <c r="AG108" s="122">
        <f t="shared" si="51"/>
        <v>0</v>
      </c>
      <c r="AH108" s="122">
        <f t="shared" si="51"/>
        <v>0</v>
      </c>
      <c r="AI108" s="122">
        <f t="shared" si="51"/>
        <v>0</v>
      </c>
    </row>
    <row r="109" spans="1:35" s="30" customFormat="1" ht="18" customHeight="1" x14ac:dyDescent="0.25">
      <c r="A109" s="150" t="s">
        <v>58</v>
      </c>
      <c r="B109" s="150"/>
      <c r="C109" s="151"/>
      <c r="D109" s="137"/>
      <c r="E109" s="151"/>
      <c r="F109" s="151">
        <f t="shared" ref="F109:AI109" si="52">IF(taxable="Non-Taxable",0,IF(ProjectYear&lt;=projectlife,-(F$107-F$104)*StateTaxRate,0))</f>
        <v>0</v>
      </c>
      <c r="G109" s="151">
        <f t="shared" si="52"/>
        <v>0</v>
      </c>
      <c r="H109" s="151">
        <f t="shared" si="52"/>
        <v>0</v>
      </c>
      <c r="I109" s="151">
        <f t="shared" si="52"/>
        <v>0</v>
      </c>
      <c r="J109" s="151">
        <f t="shared" si="52"/>
        <v>0</v>
      </c>
      <c r="K109" s="151">
        <f t="shared" si="52"/>
        <v>0</v>
      </c>
      <c r="L109" s="151">
        <f t="shared" si="52"/>
        <v>0</v>
      </c>
      <c r="M109" s="151">
        <f t="shared" si="52"/>
        <v>0</v>
      </c>
      <c r="N109" s="151">
        <f t="shared" si="52"/>
        <v>0</v>
      </c>
      <c r="O109" s="151">
        <f t="shared" si="52"/>
        <v>0</v>
      </c>
      <c r="P109" s="151">
        <f t="shared" si="52"/>
        <v>0</v>
      </c>
      <c r="Q109" s="151">
        <f t="shared" si="52"/>
        <v>0</v>
      </c>
      <c r="R109" s="151">
        <f t="shared" si="52"/>
        <v>0</v>
      </c>
      <c r="S109" s="151">
        <f t="shared" si="52"/>
        <v>0</v>
      </c>
      <c r="T109" s="151">
        <f t="shared" si="52"/>
        <v>0</v>
      </c>
      <c r="U109" s="151">
        <f t="shared" si="52"/>
        <v>0</v>
      </c>
      <c r="V109" s="151">
        <f t="shared" si="52"/>
        <v>0</v>
      </c>
      <c r="W109" s="151">
        <f t="shared" si="52"/>
        <v>0</v>
      </c>
      <c r="X109" s="151">
        <f t="shared" si="52"/>
        <v>0</v>
      </c>
      <c r="Y109" s="151">
        <f t="shared" si="52"/>
        <v>0</v>
      </c>
      <c r="Z109" s="151">
        <f t="shared" si="52"/>
        <v>0</v>
      </c>
      <c r="AA109" s="151">
        <f t="shared" si="52"/>
        <v>0</v>
      </c>
      <c r="AB109" s="151">
        <f t="shared" si="52"/>
        <v>0</v>
      </c>
      <c r="AC109" s="151">
        <f t="shared" si="52"/>
        <v>0</v>
      </c>
      <c r="AD109" s="151">
        <f t="shared" si="52"/>
        <v>0</v>
      </c>
      <c r="AE109" s="151">
        <f t="shared" si="52"/>
        <v>0</v>
      </c>
      <c r="AF109" s="151">
        <f t="shared" si="52"/>
        <v>0</v>
      </c>
      <c r="AG109" s="151">
        <f t="shared" si="52"/>
        <v>0</v>
      </c>
      <c r="AH109" s="151">
        <f t="shared" si="52"/>
        <v>0</v>
      </c>
      <c r="AI109" s="151">
        <f t="shared" si="52"/>
        <v>0</v>
      </c>
    </row>
    <row r="110" spans="1:35" s="21" customFormat="1" ht="18" customHeight="1" x14ac:dyDescent="0.25">
      <c r="A110" s="152" t="s">
        <v>40</v>
      </c>
      <c r="B110" s="153"/>
      <c r="C110" s="127"/>
      <c r="D110" s="127"/>
      <c r="E110" s="127"/>
      <c r="F110" s="127">
        <f>SUM(F107:F109)</f>
        <v>0</v>
      </c>
      <c r="G110" s="127">
        <f t="shared" ref="G110:AI110" si="53">SUM(G107:G109)</f>
        <v>0</v>
      </c>
      <c r="H110" s="127">
        <f t="shared" si="53"/>
        <v>0</v>
      </c>
      <c r="I110" s="127">
        <f t="shared" si="53"/>
        <v>0</v>
      </c>
      <c r="J110" s="127">
        <f t="shared" si="53"/>
        <v>0</v>
      </c>
      <c r="K110" s="127">
        <f t="shared" si="53"/>
        <v>0</v>
      </c>
      <c r="L110" s="127">
        <f t="shared" si="53"/>
        <v>0</v>
      </c>
      <c r="M110" s="127">
        <f t="shared" si="53"/>
        <v>0</v>
      </c>
      <c r="N110" s="127">
        <f t="shared" si="53"/>
        <v>0</v>
      </c>
      <c r="O110" s="127">
        <f t="shared" si="53"/>
        <v>0</v>
      </c>
      <c r="P110" s="127">
        <f t="shared" si="53"/>
        <v>0</v>
      </c>
      <c r="Q110" s="127">
        <f t="shared" si="53"/>
        <v>0</v>
      </c>
      <c r="R110" s="127">
        <f t="shared" si="53"/>
        <v>0</v>
      </c>
      <c r="S110" s="127">
        <f t="shared" si="53"/>
        <v>0</v>
      </c>
      <c r="T110" s="127">
        <f t="shared" si="53"/>
        <v>0</v>
      </c>
      <c r="U110" s="127">
        <f t="shared" si="53"/>
        <v>0</v>
      </c>
      <c r="V110" s="127">
        <f t="shared" si="53"/>
        <v>0</v>
      </c>
      <c r="W110" s="127">
        <f t="shared" si="53"/>
        <v>0</v>
      </c>
      <c r="X110" s="127">
        <f t="shared" si="53"/>
        <v>0</v>
      </c>
      <c r="Y110" s="127">
        <f t="shared" si="53"/>
        <v>0</v>
      </c>
      <c r="Z110" s="127">
        <f t="shared" si="53"/>
        <v>0</v>
      </c>
      <c r="AA110" s="127">
        <f t="shared" si="53"/>
        <v>0</v>
      </c>
      <c r="AB110" s="127">
        <f t="shared" si="53"/>
        <v>0</v>
      </c>
      <c r="AC110" s="127">
        <f t="shared" si="53"/>
        <v>0</v>
      </c>
      <c r="AD110" s="127">
        <f t="shared" si="53"/>
        <v>0</v>
      </c>
      <c r="AE110" s="127">
        <f t="shared" si="53"/>
        <v>0</v>
      </c>
      <c r="AF110" s="127">
        <f t="shared" si="53"/>
        <v>0</v>
      </c>
      <c r="AG110" s="127">
        <f t="shared" si="53"/>
        <v>0</v>
      </c>
      <c r="AH110" s="127">
        <f t="shared" si="53"/>
        <v>0</v>
      </c>
      <c r="AI110" s="128">
        <f t="shared" si="53"/>
        <v>0</v>
      </c>
    </row>
    <row r="111" spans="1:35" s="5" customFormat="1" ht="18" customHeight="1" x14ac:dyDescent="0.25">
      <c r="A111" s="144" t="s">
        <v>53</v>
      </c>
      <c r="B111" s="144"/>
      <c r="C111" s="122"/>
      <c r="D111" s="137"/>
      <c r="E111" s="122"/>
      <c r="F111" s="132"/>
      <c r="G111" s="132"/>
      <c r="H111" s="13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row>
    <row r="112" spans="1:35" s="5" customFormat="1" ht="18" customHeight="1" x14ac:dyDescent="0.25">
      <c r="A112" s="121" t="s">
        <v>103</v>
      </c>
      <c r="B112" s="121"/>
      <c r="C112" s="122"/>
      <c r="D112" s="137"/>
      <c r="E112" s="122"/>
      <c r="F112" s="122">
        <f>F110-F104</f>
        <v>0</v>
      </c>
      <c r="G112" s="122">
        <f t="shared" ref="G112:AI112" si="54">G110-G104</f>
        <v>0</v>
      </c>
      <c r="H112" s="122">
        <f t="shared" si="54"/>
        <v>0</v>
      </c>
      <c r="I112" s="122">
        <f t="shared" si="54"/>
        <v>0</v>
      </c>
      <c r="J112" s="122">
        <f t="shared" si="54"/>
        <v>0</v>
      </c>
      <c r="K112" s="122">
        <f t="shared" si="54"/>
        <v>0</v>
      </c>
      <c r="L112" s="122">
        <f t="shared" si="54"/>
        <v>0</v>
      </c>
      <c r="M112" s="122">
        <f t="shared" si="54"/>
        <v>0</v>
      </c>
      <c r="N112" s="122">
        <f t="shared" si="54"/>
        <v>0</v>
      </c>
      <c r="O112" s="122">
        <f t="shared" si="54"/>
        <v>0</v>
      </c>
      <c r="P112" s="122">
        <f t="shared" si="54"/>
        <v>0</v>
      </c>
      <c r="Q112" s="122">
        <f t="shared" si="54"/>
        <v>0</v>
      </c>
      <c r="R112" s="122">
        <f t="shared" si="54"/>
        <v>0</v>
      </c>
      <c r="S112" s="122">
        <f t="shared" si="54"/>
        <v>0</v>
      </c>
      <c r="T112" s="122">
        <f t="shared" si="54"/>
        <v>0</v>
      </c>
      <c r="U112" s="122">
        <f t="shared" si="54"/>
        <v>0</v>
      </c>
      <c r="V112" s="122">
        <f t="shared" si="54"/>
        <v>0</v>
      </c>
      <c r="W112" s="122">
        <f t="shared" si="54"/>
        <v>0</v>
      </c>
      <c r="X112" s="122">
        <f t="shared" si="54"/>
        <v>0</v>
      </c>
      <c r="Y112" s="122">
        <f t="shared" si="54"/>
        <v>0</v>
      </c>
      <c r="Z112" s="122">
        <f t="shared" si="54"/>
        <v>0</v>
      </c>
      <c r="AA112" s="122">
        <f t="shared" si="54"/>
        <v>0</v>
      </c>
      <c r="AB112" s="122">
        <f t="shared" si="54"/>
        <v>0</v>
      </c>
      <c r="AC112" s="122">
        <f t="shared" si="54"/>
        <v>0</v>
      </c>
      <c r="AD112" s="122">
        <f t="shared" si="54"/>
        <v>0</v>
      </c>
      <c r="AE112" s="122">
        <f t="shared" si="54"/>
        <v>0</v>
      </c>
      <c r="AF112" s="122">
        <f t="shared" si="54"/>
        <v>0</v>
      </c>
      <c r="AG112" s="122">
        <f t="shared" si="54"/>
        <v>0</v>
      </c>
      <c r="AH112" s="122">
        <f t="shared" si="54"/>
        <v>0</v>
      </c>
      <c r="AI112" s="122">
        <f t="shared" si="54"/>
        <v>0</v>
      </c>
    </row>
    <row r="113" spans="1:36" s="5" customFormat="1" ht="18" customHeight="1" x14ac:dyDescent="0.25">
      <c r="A113" s="121" t="s">
        <v>46</v>
      </c>
      <c r="B113" s="121"/>
      <c r="C113" s="122"/>
      <c r="D113" s="137"/>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row>
    <row r="114" spans="1:36" s="5" customFormat="1" ht="18" customHeight="1" x14ac:dyDescent="0.25">
      <c r="A114" s="124" t="s">
        <v>138</v>
      </c>
      <c r="B114" s="124"/>
      <c r="C114" s="122"/>
      <c r="D114" s="137"/>
      <c r="E114" s="122"/>
      <c r="F114" s="122">
        <f t="shared" ref="F114:AI114" si="55">IF(F$44=$B$16,-$B$15,0)</f>
        <v>0</v>
      </c>
      <c r="G114" s="122">
        <f t="shared" si="55"/>
        <v>0</v>
      </c>
      <c r="H114" s="122">
        <f t="shared" si="55"/>
        <v>0</v>
      </c>
      <c r="I114" s="122">
        <f t="shared" si="55"/>
        <v>0</v>
      </c>
      <c r="J114" s="122">
        <f t="shared" si="55"/>
        <v>0</v>
      </c>
      <c r="K114" s="122">
        <f t="shared" si="55"/>
        <v>0</v>
      </c>
      <c r="L114" s="122">
        <f t="shared" si="55"/>
        <v>0</v>
      </c>
      <c r="M114" s="122">
        <f t="shared" si="55"/>
        <v>0</v>
      </c>
      <c r="N114" s="122">
        <f t="shared" si="55"/>
        <v>0</v>
      </c>
      <c r="O114" s="122">
        <f t="shared" si="55"/>
        <v>0</v>
      </c>
      <c r="P114" s="122">
        <f t="shared" si="55"/>
        <v>0</v>
      </c>
      <c r="Q114" s="122">
        <f t="shared" si="55"/>
        <v>0</v>
      </c>
      <c r="R114" s="122">
        <f t="shared" si="55"/>
        <v>0</v>
      </c>
      <c r="S114" s="122">
        <f t="shared" si="55"/>
        <v>0</v>
      </c>
      <c r="T114" s="122">
        <f t="shared" si="55"/>
        <v>0</v>
      </c>
      <c r="U114" s="122">
        <f t="shared" si="55"/>
        <v>0</v>
      </c>
      <c r="V114" s="122">
        <f t="shared" si="55"/>
        <v>0</v>
      </c>
      <c r="W114" s="122">
        <f t="shared" si="55"/>
        <v>0</v>
      </c>
      <c r="X114" s="122">
        <f t="shared" si="55"/>
        <v>0</v>
      </c>
      <c r="Y114" s="122">
        <f t="shared" si="55"/>
        <v>0</v>
      </c>
      <c r="Z114" s="122">
        <f t="shared" si="55"/>
        <v>0</v>
      </c>
      <c r="AA114" s="122">
        <f t="shared" si="55"/>
        <v>0</v>
      </c>
      <c r="AB114" s="122">
        <f t="shared" si="55"/>
        <v>0</v>
      </c>
      <c r="AC114" s="122">
        <f t="shared" si="55"/>
        <v>0</v>
      </c>
      <c r="AD114" s="122">
        <f t="shared" si="55"/>
        <v>0</v>
      </c>
      <c r="AE114" s="122">
        <f t="shared" si="55"/>
        <v>0</v>
      </c>
      <c r="AF114" s="122">
        <f t="shared" si="55"/>
        <v>0</v>
      </c>
      <c r="AG114" s="122">
        <f t="shared" si="55"/>
        <v>0</v>
      </c>
      <c r="AH114" s="122">
        <f t="shared" si="55"/>
        <v>0</v>
      </c>
      <c r="AI114" s="122">
        <f t="shared" si="55"/>
        <v>0</v>
      </c>
    </row>
    <row r="115" spans="1:36" s="5" customFormat="1" ht="18" customHeight="1" x14ac:dyDescent="0.25">
      <c r="A115" s="124" t="s">
        <v>61</v>
      </c>
      <c r="B115" s="124"/>
      <c r="C115" s="122"/>
      <c r="D115" s="137"/>
      <c r="E115" s="122"/>
      <c r="F115" s="154"/>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row>
    <row r="116" spans="1:36" s="5" customFormat="1" ht="18" customHeight="1" x14ac:dyDescent="0.25">
      <c r="A116" s="124" t="s">
        <v>77</v>
      </c>
      <c r="B116" s="124"/>
      <c r="C116" s="122"/>
      <c r="D116" s="137"/>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row>
    <row r="117" spans="1:36" s="5" customFormat="1" ht="18" customHeight="1" x14ac:dyDescent="0.25">
      <c r="A117" s="125" t="s">
        <v>47</v>
      </c>
      <c r="B117" s="125"/>
      <c r="C117" s="122"/>
      <c r="D117" s="137"/>
      <c r="E117" s="122"/>
      <c r="F117" s="122">
        <f t="shared" ref="F117:AI117" si="56">SUM(F114:F116)</f>
        <v>0</v>
      </c>
      <c r="G117" s="122">
        <f t="shared" si="56"/>
        <v>0</v>
      </c>
      <c r="H117" s="122">
        <f t="shared" si="56"/>
        <v>0</v>
      </c>
      <c r="I117" s="122">
        <f t="shared" si="56"/>
        <v>0</v>
      </c>
      <c r="J117" s="122">
        <f t="shared" si="56"/>
        <v>0</v>
      </c>
      <c r="K117" s="122">
        <f t="shared" si="56"/>
        <v>0</v>
      </c>
      <c r="L117" s="122">
        <f t="shared" si="56"/>
        <v>0</v>
      </c>
      <c r="M117" s="122">
        <f t="shared" si="56"/>
        <v>0</v>
      </c>
      <c r="N117" s="122">
        <f t="shared" si="56"/>
        <v>0</v>
      </c>
      <c r="O117" s="122">
        <f t="shared" si="56"/>
        <v>0</v>
      </c>
      <c r="P117" s="122">
        <f t="shared" si="56"/>
        <v>0</v>
      </c>
      <c r="Q117" s="122">
        <f t="shared" si="56"/>
        <v>0</v>
      </c>
      <c r="R117" s="122">
        <f t="shared" si="56"/>
        <v>0</v>
      </c>
      <c r="S117" s="122">
        <f t="shared" si="56"/>
        <v>0</v>
      </c>
      <c r="T117" s="122">
        <f t="shared" si="56"/>
        <v>0</v>
      </c>
      <c r="U117" s="122">
        <f t="shared" si="56"/>
        <v>0</v>
      </c>
      <c r="V117" s="122">
        <f t="shared" si="56"/>
        <v>0</v>
      </c>
      <c r="W117" s="122">
        <f t="shared" si="56"/>
        <v>0</v>
      </c>
      <c r="X117" s="122">
        <f t="shared" si="56"/>
        <v>0</v>
      </c>
      <c r="Y117" s="122">
        <f t="shared" si="56"/>
        <v>0</v>
      </c>
      <c r="Z117" s="122">
        <f t="shared" si="56"/>
        <v>0</v>
      </c>
      <c r="AA117" s="122">
        <f t="shared" si="56"/>
        <v>0</v>
      </c>
      <c r="AB117" s="122">
        <f t="shared" si="56"/>
        <v>0</v>
      </c>
      <c r="AC117" s="122">
        <f t="shared" si="56"/>
        <v>0</v>
      </c>
      <c r="AD117" s="122">
        <f t="shared" si="56"/>
        <v>0</v>
      </c>
      <c r="AE117" s="122">
        <f t="shared" si="56"/>
        <v>0</v>
      </c>
      <c r="AF117" s="122">
        <f t="shared" si="56"/>
        <v>0</v>
      </c>
      <c r="AG117" s="122">
        <f t="shared" si="56"/>
        <v>0</v>
      </c>
      <c r="AH117" s="122">
        <f t="shared" si="56"/>
        <v>0</v>
      </c>
      <c r="AI117" s="122">
        <f t="shared" si="56"/>
        <v>0</v>
      </c>
    </row>
    <row r="118" spans="1:36" s="21" customFormat="1" ht="15.75" x14ac:dyDescent="0.25">
      <c r="A118" s="135"/>
      <c r="B118" s="135"/>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row>
    <row r="119" spans="1:36" s="5" customFormat="1" ht="18" x14ac:dyDescent="0.25">
      <c r="A119" s="140" t="s">
        <v>133</v>
      </c>
      <c r="B119" s="155"/>
      <c r="C119" s="122"/>
      <c r="D119" s="137"/>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30"/>
    </row>
    <row r="120" spans="1:36" s="5" customFormat="1" ht="18" customHeight="1" x14ac:dyDescent="0.25">
      <c r="A120" s="121" t="s">
        <v>48</v>
      </c>
      <c r="B120" s="121"/>
      <c r="C120" s="122"/>
      <c r="D120" s="137"/>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row>
    <row r="121" spans="1:36" s="5" customFormat="1" ht="18" customHeight="1" x14ac:dyDescent="0.25">
      <c r="A121" s="123" t="s">
        <v>49</v>
      </c>
      <c r="B121" s="123"/>
      <c r="C121" s="122"/>
      <c r="D121" s="137"/>
      <c r="E121" s="122"/>
      <c r="F121" s="122">
        <f t="shared" ref="F121:AI121" si="57">IF(F$44=$B$16,$I$30,0)</f>
        <v>0</v>
      </c>
      <c r="G121" s="122">
        <f t="shared" si="57"/>
        <v>0</v>
      </c>
      <c r="H121" s="122">
        <f t="shared" si="57"/>
        <v>0</v>
      </c>
      <c r="I121" s="122">
        <f t="shared" si="57"/>
        <v>0</v>
      </c>
      <c r="J121" s="122">
        <f t="shared" si="57"/>
        <v>0</v>
      </c>
      <c r="K121" s="122">
        <f t="shared" si="57"/>
        <v>0</v>
      </c>
      <c r="L121" s="122">
        <f t="shared" si="57"/>
        <v>0</v>
      </c>
      <c r="M121" s="122">
        <f t="shared" si="57"/>
        <v>0</v>
      </c>
      <c r="N121" s="122">
        <f t="shared" si="57"/>
        <v>0</v>
      </c>
      <c r="O121" s="122">
        <f t="shared" si="57"/>
        <v>0</v>
      </c>
      <c r="P121" s="122">
        <f t="shared" si="57"/>
        <v>0</v>
      </c>
      <c r="Q121" s="122">
        <f t="shared" si="57"/>
        <v>0</v>
      </c>
      <c r="R121" s="122">
        <f t="shared" si="57"/>
        <v>0</v>
      </c>
      <c r="S121" s="122">
        <f t="shared" si="57"/>
        <v>0</v>
      </c>
      <c r="T121" s="122">
        <f t="shared" si="57"/>
        <v>0</v>
      </c>
      <c r="U121" s="122">
        <f t="shared" si="57"/>
        <v>0</v>
      </c>
      <c r="V121" s="122">
        <f t="shared" si="57"/>
        <v>0</v>
      </c>
      <c r="W121" s="122">
        <f t="shared" si="57"/>
        <v>0</v>
      </c>
      <c r="X121" s="122">
        <f t="shared" si="57"/>
        <v>0</v>
      </c>
      <c r="Y121" s="122">
        <f t="shared" si="57"/>
        <v>0</v>
      </c>
      <c r="Z121" s="122">
        <f t="shared" si="57"/>
        <v>0</v>
      </c>
      <c r="AA121" s="122">
        <f t="shared" si="57"/>
        <v>0</v>
      </c>
      <c r="AB121" s="122">
        <f t="shared" si="57"/>
        <v>0</v>
      </c>
      <c r="AC121" s="122">
        <f t="shared" si="57"/>
        <v>0</v>
      </c>
      <c r="AD121" s="122">
        <f t="shared" si="57"/>
        <v>0</v>
      </c>
      <c r="AE121" s="122">
        <f t="shared" si="57"/>
        <v>0</v>
      </c>
      <c r="AF121" s="122">
        <f t="shared" si="57"/>
        <v>0</v>
      </c>
      <c r="AG121" s="122">
        <f t="shared" si="57"/>
        <v>0</v>
      </c>
      <c r="AH121" s="122">
        <f t="shared" si="57"/>
        <v>0</v>
      </c>
      <c r="AI121" s="122">
        <f t="shared" si="57"/>
        <v>0</v>
      </c>
    </row>
    <row r="122" spans="1:36" s="5" customFormat="1" ht="18" customHeight="1" x14ac:dyDescent="0.25">
      <c r="A122" s="124" t="s">
        <v>50</v>
      </c>
      <c r="B122" s="124"/>
      <c r="C122" s="122"/>
      <c r="D122" s="137"/>
      <c r="E122" s="122"/>
      <c r="F122" s="122">
        <f t="shared" ref="F122:AI122" si="58">F$133</f>
        <v>0</v>
      </c>
      <c r="G122" s="122">
        <f t="shared" si="58"/>
        <v>0</v>
      </c>
      <c r="H122" s="122">
        <f t="shared" si="58"/>
        <v>0</v>
      </c>
      <c r="I122" s="122">
        <f t="shared" si="58"/>
        <v>0</v>
      </c>
      <c r="J122" s="122">
        <f t="shared" si="58"/>
        <v>0</v>
      </c>
      <c r="K122" s="122">
        <f t="shared" si="58"/>
        <v>0</v>
      </c>
      <c r="L122" s="122">
        <f t="shared" si="58"/>
        <v>0</v>
      </c>
      <c r="M122" s="122">
        <f t="shared" si="58"/>
        <v>0</v>
      </c>
      <c r="N122" s="122">
        <f t="shared" si="58"/>
        <v>0</v>
      </c>
      <c r="O122" s="122">
        <f t="shared" si="58"/>
        <v>0</v>
      </c>
      <c r="P122" s="122">
        <f t="shared" si="58"/>
        <v>0</v>
      </c>
      <c r="Q122" s="122">
        <f t="shared" si="58"/>
        <v>0</v>
      </c>
      <c r="R122" s="122">
        <f t="shared" si="58"/>
        <v>0</v>
      </c>
      <c r="S122" s="122">
        <f t="shared" si="58"/>
        <v>0</v>
      </c>
      <c r="T122" s="122">
        <f t="shared" si="58"/>
        <v>0</v>
      </c>
      <c r="U122" s="122">
        <f t="shared" si="58"/>
        <v>0</v>
      </c>
      <c r="V122" s="122">
        <f t="shared" si="58"/>
        <v>0</v>
      </c>
      <c r="W122" s="122">
        <f t="shared" si="58"/>
        <v>0</v>
      </c>
      <c r="X122" s="122">
        <f t="shared" si="58"/>
        <v>0</v>
      </c>
      <c r="Y122" s="122">
        <f t="shared" si="58"/>
        <v>0</v>
      </c>
      <c r="Z122" s="122">
        <f t="shared" si="58"/>
        <v>0</v>
      </c>
      <c r="AA122" s="122">
        <f t="shared" si="58"/>
        <v>0</v>
      </c>
      <c r="AB122" s="122">
        <f t="shared" si="58"/>
        <v>0</v>
      </c>
      <c r="AC122" s="122">
        <f t="shared" si="58"/>
        <v>0</v>
      </c>
      <c r="AD122" s="122">
        <f t="shared" si="58"/>
        <v>0</v>
      </c>
      <c r="AE122" s="122">
        <f t="shared" si="58"/>
        <v>0</v>
      </c>
      <c r="AF122" s="122">
        <f t="shared" si="58"/>
        <v>0</v>
      </c>
      <c r="AG122" s="122">
        <f t="shared" si="58"/>
        <v>0</v>
      </c>
      <c r="AH122" s="122">
        <f t="shared" si="58"/>
        <v>0</v>
      </c>
      <c r="AI122" s="122">
        <f t="shared" si="58"/>
        <v>0</v>
      </c>
    </row>
    <row r="123" spans="1:36" s="5" customFormat="1" ht="18" customHeight="1" x14ac:dyDescent="0.25">
      <c r="A123" s="125" t="s">
        <v>51</v>
      </c>
      <c r="B123" s="125"/>
      <c r="C123" s="122"/>
      <c r="D123" s="137"/>
      <c r="E123" s="122"/>
      <c r="F123" s="122">
        <f>F121+F122</f>
        <v>0</v>
      </c>
      <c r="G123" s="122">
        <f t="shared" ref="G123:AI123" si="59">G121+G122</f>
        <v>0</v>
      </c>
      <c r="H123" s="122">
        <f t="shared" si="59"/>
        <v>0</v>
      </c>
      <c r="I123" s="122">
        <f t="shared" si="59"/>
        <v>0</v>
      </c>
      <c r="J123" s="122">
        <f t="shared" si="59"/>
        <v>0</v>
      </c>
      <c r="K123" s="122">
        <f t="shared" si="59"/>
        <v>0</v>
      </c>
      <c r="L123" s="122">
        <f t="shared" si="59"/>
        <v>0</v>
      </c>
      <c r="M123" s="122">
        <f t="shared" si="59"/>
        <v>0</v>
      </c>
      <c r="N123" s="122">
        <f t="shared" si="59"/>
        <v>0</v>
      </c>
      <c r="O123" s="122">
        <f t="shared" si="59"/>
        <v>0</v>
      </c>
      <c r="P123" s="122">
        <f t="shared" si="59"/>
        <v>0</v>
      </c>
      <c r="Q123" s="122">
        <f t="shared" si="59"/>
        <v>0</v>
      </c>
      <c r="R123" s="122">
        <f t="shared" si="59"/>
        <v>0</v>
      </c>
      <c r="S123" s="122">
        <f t="shared" si="59"/>
        <v>0</v>
      </c>
      <c r="T123" s="122">
        <f t="shared" si="59"/>
        <v>0</v>
      </c>
      <c r="U123" s="122">
        <f t="shared" si="59"/>
        <v>0</v>
      </c>
      <c r="V123" s="122">
        <f t="shared" si="59"/>
        <v>0</v>
      </c>
      <c r="W123" s="122">
        <f t="shared" si="59"/>
        <v>0</v>
      </c>
      <c r="X123" s="122">
        <f t="shared" si="59"/>
        <v>0</v>
      </c>
      <c r="Y123" s="122">
        <f t="shared" si="59"/>
        <v>0</v>
      </c>
      <c r="Z123" s="122">
        <f t="shared" si="59"/>
        <v>0</v>
      </c>
      <c r="AA123" s="122">
        <f t="shared" si="59"/>
        <v>0</v>
      </c>
      <c r="AB123" s="122">
        <f t="shared" si="59"/>
        <v>0</v>
      </c>
      <c r="AC123" s="122">
        <f t="shared" si="59"/>
        <v>0</v>
      </c>
      <c r="AD123" s="122">
        <f t="shared" si="59"/>
        <v>0</v>
      </c>
      <c r="AE123" s="122">
        <f t="shared" si="59"/>
        <v>0</v>
      </c>
      <c r="AF123" s="122">
        <f t="shared" si="59"/>
        <v>0</v>
      </c>
      <c r="AG123" s="122">
        <f t="shared" si="59"/>
        <v>0</v>
      </c>
      <c r="AH123" s="122">
        <f t="shared" si="59"/>
        <v>0</v>
      </c>
      <c r="AI123" s="122">
        <f t="shared" si="59"/>
        <v>0</v>
      </c>
    </row>
    <row r="124" spans="1:36" s="5" customFormat="1" ht="18" customHeight="1" x14ac:dyDescent="0.25">
      <c r="A124" s="126"/>
      <c r="B124" s="126"/>
      <c r="C124" s="122"/>
      <c r="D124" s="137"/>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row>
    <row r="125" spans="1:36" s="21" customFormat="1" ht="18" customHeight="1" x14ac:dyDescent="0.25">
      <c r="A125" s="92" t="s">
        <v>60</v>
      </c>
      <c r="B125" s="93"/>
      <c r="C125" s="94"/>
      <c r="D125" s="94"/>
      <c r="E125" s="94"/>
      <c r="F125" s="94">
        <f>F112+F117+F123</f>
        <v>0</v>
      </c>
      <c r="G125" s="94">
        <f t="shared" ref="G125:AI125" si="60">G112+G117+G123</f>
        <v>0</v>
      </c>
      <c r="H125" s="94">
        <f t="shared" si="60"/>
        <v>0</v>
      </c>
      <c r="I125" s="94">
        <f t="shared" si="60"/>
        <v>0</v>
      </c>
      <c r="J125" s="94">
        <f t="shared" si="60"/>
        <v>0</v>
      </c>
      <c r="K125" s="94">
        <f t="shared" si="60"/>
        <v>0</v>
      </c>
      <c r="L125" s="94">
        <f t="shared" si="60"/>
        <v>0</v>
      </c>
      <c r="M125" s="94">
        <f t="shared" si="60"/>
        <v>0</v>
      </c>
      <c r="N125" s="94">
        <f t="shared" si="60"/>
        <v>0</v>
      </c>
      <c r="O125" s="94">
        <f t="shared" si="60"/>
        <v>0</v>
      </c>
      <c r="P125" s="94">
        <f t="shared" si="60"/>
        <v>0</v>
      </c>
      <c r="Q125" s="94">
        <f t="shared" si="60"/>
        <v>0</v>
      </c>
      <c r="R125" s="94">
        <f t="shared" si="60"/>
        <v>0</v>
      </c>
      <c r="S125" s="94">
        <f t="shared" si="60"/>
        <v>0</v>
      </c>
      <c r="T125" s="94">
        <f t="shared" si="60"/>
        <v>0</v>
      </c>
      <c r="U125" s="94">
        <f t="shared" si="60"/>
        <v>0</v>
      </c>
      <c r="V125" s="94">
        <f t="shared" si="60"/>
        <v>0</v>
      </c>
      <c r="W125" s="94">
        <f t="shared" si="60"/>
        <v>0</v>
      </c>
      <c r="X125" s="94">
        <f t="shared" si="60"/>
        <v>0</v>
      </c>
      <c r="Y125" s="94">
        <f t="shared" si="60"/>
        <v>0</v>
      </c>
      <c r="Z125" s="94">
        <f t="shared" si="60"/>
        <v>0</v>
      </c>
      <c r="AA125" s="94">
        <f t="shared" si="60"/>
        <v>0</v>
      </c>
      <c r="AB125" s="94">
        <f t="shared" si="60"/>
        <v>0</v>
      </c>
      <c r="AC125" s="94">
        <f t="shared" si="60"/>
        <v>0</v>
      </c>
      <c r="AD125" s="94">
        <f t="shared" si="60"/>
        <v>0</v>
      </c>
      <c r="AE125" s="94">
        <f t="shared" si="60"/>
        <v>0</v>
      </c>
      <c r="AF125" s="94">
        <f t="shared" si="60"/>
        <v>0</v>
      </c>
      <c r="AG125" s="94">
        <f t="shared" si="60"/>
        <v>0</v>
      </c>
      <c r="AH125" s="94">
        <f t="shared" si="60"/>
        <v>0</v>
      </c>
      <c r="AI125" s="94">
        <f t="shared" si="60"/>
        <v>0</v>
      </c>
    </row>
    <row r="126" spans="1:36" s="21" customFormat="1" ht="18" customHeight="1" x14ac:dyDescent="0.25">
      <c r="A126" s="121" t="s">
        <v>59</v>
      </c>
      <c r="B126" s="121"/>
      <c r="C126" s="129"/>
      <c r="D126" s="137"/>
      <c r="E126" s="129"/>
      <c r="F126" s="129">
        <f>E126+F125</f>
        <v>0</v>
      </c>
      <c r="G126" s="129">
        <f t="shared" ref="G126:AD126" si="61">F126+G125</f>
        <v>0</v>
      </c>
      <c r="H126" s="129">
        <f t="shared" si="61"/>
        <v>0</v>
      </c>
      <c r="I126" s="129">
        <f t="shared" si="61"/>
        <v>0</v>
      </c>
      <c r="J126" s="129">
        <f t="shared" si="61"/>
        <v>0</v>
      </c>
      <c r="K126" s="129">
        <f t="shared" si="61"/>
        <v>0</v>
      </c>
      <c r="L126" s="129">
        <f t="shared" si="61"/>
        <v>0</v>
      </c>
      <c r="M126" s="129">
        <f t="shared" si="61"/>
        <v>0</v>
      </c>
      <c r="N126" s="129">
        <f t="shared" si="61"/>
        <v>0</v>
      </c>
      <c r="O126" s="129">
        <f t="shared" si="61"/>
        <v>0</v>
      </c>
      <c r="P126" s="129">
        <f t="shared" si="61"/>
        <v>0</v>
      </c>
      <c r="Q126" s="129">
        <f t="shared" si="61"/>
        <v>0</v>
      </c>
      <c r="R126" s="129">
        <f t="shared" si="61"/>
        <v>0</v>
      </c>
      <c r="S126" s="129">
        <f t="shared" si="61"/>
        <v>0</v>
      </c>
      <c r="T126" s="129">
        <f t="shared" si="61"/>
        <v>0</v>
      </c>
      <c r="U126" s="129">
        <f t="shared" si="61"/>
        <v>0</v>
      </c>
      <c r="V126" s="129">
        <f t="shared" si="61"/>
        <v>0</v>
      </c>
      <c r="W126" s="129">
        <f t="shared" si="61"/>
        <v>0</v>
      </c>
      <c r="X126" s="129">
        <f t="shared" si="61"/>
        <v>0</v>
      </c>
      <c r="Y126" s="129">
        <f t="shared" si="61"/>
        <v>0</v>
      </c>
      <c r="Z126" s="129">
        <f t="shared" si="61"/>
        <v>0</v>
      </c>
      <c r="AA126" s="129">
        <f t="shared" si="61"/>
        <v>0</v>
      </c>
      <c r="AB126" s="129">
        <f t="shared" si="61"/>
        <v>0</v>
      </c>
      <c r="AC126" s="129">
        <f t="shared" si="61"/>
        <v>0</v>
      </c>
      <c r="AD126" s="129">
        <f t="shared" si="61"/>
        <v>0</v>
      </c>
      <c r="AE126" s="129">
        <f>AD126+AE125</f>
        <v>0</v>
      </c>
      <c r="AF126" s="129">
        <f t="shared" ref="AF126:AI126" si="62">AE126+AF125</f>
        <v>0</v>
      </c>
      <c r="AG126" s="129">
        <f t="shared" si="62"/>
        <v>0</v>
      </c>
      <c r="AH126" s="129">
        <f t="shared" si="62"/>
        <v>0</v>
      </c>
      <c r="AI126" s="129">
        <f t="shared" si="62"/>
        <v>0</v>
      </c>
    </row>
    <row r="127" spans="1:36" s="5" customFormat="1" ht="19.5" customHeight="1" x14ac:dyDescent="0.25">
      <c r="A127" s="126"/>
      <c r="B127" s="126"/>
      <c r="C127" s="122"/>
      <c r="D127" s="137"/>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row>
    <row r="128" spans="1:36" s="5" customFormat="1" ht="21" customHeight="1" x14ac:dyDescent="0.4">
      <c r="A128" s="158" t="s">
        <v>134</v>
      </c>
      <c r="B128" s="130"/>
      <c r="C128" s="130"/>
      <c r="D128" s="137"/>
      <c r="E128" s="130"/>
      <c r="F128" s="130"/>
      <c r="G128" s="130"/>
      <c r="H128" s="130"/>
      <c r="I128" s="130"/>
      <c r="J128" s="130"/>
      <c r="K128" s="130"/>
      <c r="L128" s="130"/>
      <c r="M128" s="130"/>
      <c r="N128" s="130"/>
      <c r="O128" s="130"/>
      <c r="P128" s="131"/>
      <c r="Q128" s="131"/>
      <c r="R128" s="131"/>
      <c r="S128" s="131"/>
      <c r="T128" s="131"/>
      <c r="U128" s="131"/>
      <c r="V128" s="131"/>
      <c r="W128" s="131"/>
      <c r="X128" s="131"/>
      <c r="Y128" s="131"/>
      <c r="Z128" s="132"/>
      <c r="AA128" s="132"/>
      <c r="AB128" s="132"/>
      <c r="AC128" s="132"/>
      <c r="AD128" s="132"/>
      <c r="AE128" s="132"/>
      <c r="AF128" s="132"/>
      <c r="AG128" s="132"/>
      <c r="AH128" s="132"/>
      <c r="AI128" s="132"/>
    </row>
    <row r="129" spans="1:35" s="5" customFormat="1" ht="15.75" x14ac:dyDescent="0.25">
      <c r="A129" s="132"/>
      <c r="B129" s="132"/>
      <c r="C129" s="133"/>
      <c r="D129" s="137"/>
      <c r="E129" s="133"/>
      <c r="F129" s="134" t="s">
        <v>3</v>
      </c>
      <c r="G129" s="134" t="s">
        <v>3</v>
      </c>
      <c r="H129" s="134" t="s">
        <v>3</v>
      </c>
      <c r="I129" s="134" t="s">
        <v>3</v>
      </c>
      <c r="J129" s="134" t="s">
        <v>3</v>
      </c>
      <c r="K129" s="134" t="s">
        <v>3</v>
      </c>
      <c r="L129" s="134" t="s">
        <v>3</v>
      </c>
      <c r="M129" s="134" t="s">
        <v>3</v>
      </c>
      <c r="N129" s="134" t="s">
        <v>3</v>
      </c>
      <c r="O129" s="134" t="s">
        <v>3</v>
      </c>
      <c r="P129" s="134" t="s">
        <v>3</v>
      </c>
      <c r="Q129" s="134" t="s">
        <v>3</v>
      </c>
      <c r="R129" s="134" t="s">
        <v>3</v>
      </c>
      <c r="S129" s="134" t="s">
        <v>3</v>
      </c>
      <c r="T129" s="134" t="s">
        <v>3</v>
      </c>
      <c r="U129" s="134" t="s">
        <v>3</v>
      </c>
      <c r="V129" s="134" t="s">
        <v>3</v>
      </c>
      <c r="W129" s="134" t="s">
        <v>3</v>
      </c>
      <c r="X129" s="134" t="s">
        <v>3</v>
      </c>
      <c r="Y129" s="134" t="s">
        <v>3</v>
      </c>
      <c r="Z129" s="134" t="s">
        <v>3</v>
      </c>
      <c r="AA129" s="134" t="s">
        <v>3</v>
      </c>
      <c r="AB129" s="134" t="s">
        <v>3</v>
      </c>
      <c r="AC129" s="134" t="s">
        <v>3</v>
      </c>
      <c r="AD129" s="134" t="s">
        <v>3</v>
      </c>
      <c r="AE129" s="134" t="s">
        <v>3</v>
      </c>
      <c r="AF129" s="134" t="s">
        <v>3</v>
      </c>
      <c r="AG129" s="134" t="s">
        <v>3</v>
      </c>
      <c r="AH129" s="134" t="s">
        <v>3</v>
      </c>
      <c r="AI129" s="134" t="s">
        <v>3</v>
      </c>
    </row>
    <row r="130" spans="1:35" s="5" customFormat="1" ht="15.75" x14ac:dyDescent="0.25">
      <c r="A130" s="135"/>
      <c r="B130" s="135"/>
      <c r="C130" s="133"/>
      <c r="D130" s="137"/>
      <c r="E130" s="133"/>
      <c r="F130" s="136">
        <v>1</v>
      </c>
      <c r="G130" s="136">
        <v>2</v>
      </c>
      <c r="H130" s="136">
        <v>3</v>
      </c>
      <c r="I130" s="136">
        <v>4</v>
      </c>
      <c r="J130" s="136">
        <v>5</v>
      </c>
      <c r="K130" s="136">
        <v>6</v>
      </c>
      <c r="L130" s="136">
        <v>7</v>
      </c>
      <c r="M130" s="136">
        <v>8</v>
      </c>
      <c r="N130" s="136">
        <v>9</v>
      </c>
      <c r="O130" s="136">
        <v>10</v>
      </c>
      <c r="P130" s="136">
        <v>11</v>
      </c>
      <c r="Q130" s="136">
        <v>12</v>
      </c>
      <c r="R130" s="136">
        <v>13</v>
      </c>
      <c r="S130" s="136">
        <v>14</v>
      </c>
      <c r="T130" s="136">
        <v>15</v>
      </c>
      <c r="U130" s="136">
        <v>16</v>
      </c>
      <c r="V130" s="136">
        <v>17</v>
      </c>
      <c r="W130" s="136">
        <v>18</v>
      </c>
      <c r="X130" s="136">
        <v>19</v>
      </c>
      <c r="Y130" s="136">
        <v>20</v>
      </c>
      <c r="Z130" s="136">
        <v>21</v>
      </c>
      <c r="AA130" s="136">
        <v>22</v>
      </c>
      <c r="AB130" s="136">
        <v>23</v>
      </c>
      <c r="AC130" s="136">
        <v>24</v>
      </c>
      <c r="AD130" s="136">
        <v>25</v>
      </c>
      <c r="AE130" s="136">
        <v>26</v>
      </c>
      <c r="AF130" s="136">
        <v>27</v>
      </c>
      <c r="AG130" s="136">
        <v>28</v>
      </c>
      <c r="AH130" s="136">
        <v>29</v>
      </c>
      <c r="AI130" s="136">
        <v>30</v>
      </c>
    </row>
    <row r="131" spans="1:35" s="5" customFormat="1" ht="15.75" x14ac:dyDescent="0.25">
      <c r="A131" s="132" t="s">
        <v>41</v>
      </c>
      <c r="B131" s="132"/>
      <c r="C131" s="133"/>
      <c r="D131" s="137"/>
      <c r="E131" s="133"/>
      <c r="F131" s="133">
        <f t="shared" ref="F131:AI131" si="63">IF(F$44=$B$16,F$121,+E135)</f>
        <v>0</v>
      </c>
      <c r="G131" s="133">
        <f t="shared" si="63"/>
        <v>0</v>
      </c>
      <c r="H131" s="133">
        <f t="shared" si="63"/>
        <v>0</v>
      </c>
      <c r="I131" s="133">
        <f t="shared" si="63"/>
        <v>0</v>
      </c>
      <c r="J131" s="133">
        <f t="shared" si="63"/>
        <v>0</v>
      </c>
      <c r="K131" s="133">
        <f t="shared" si="63"/>
        <v>0</v>
      </c>
      <c r="L131" s="133">
        <f t="shared" si="63"/>
        <v>0</v>
      </c>
      <c r="M131" s="133">
        <f t="shared" si="63"/>
        <v>0</v>
      </c>
      <c r="N131" s="133">
        <f t="shared" si="63"/>
        <v>0</v>
      </c>
      <c r="O131" s="133">
        <f t="shared" si="63"/>
        <v>0</v>
      </c>
      <c r="P131" s="133">
        <f t="shared" si="63"/>
        <v>0</v>
      </c>
      <c r="Q131" s="133">
        <f t="shared" si="63"/>
        <v>0</v>
      </c>
      <c r="R131" s="133">
        <f t="shared" si="63"/>
        <v>0</v>
      </c>
      <c r="S131" s="133">
        <f t="shared" si="63"/>
        <v>0</v>
      </c>
      <c r="T131" s="133">
        <f t="shared" si="63"/>
        <v>0</v>
      </c>
      <c r="U131" s="133">
        <f t="shared" si="63"/>
        <v>0</v>
      </c>
      <c r="V131" s="133">
        <f t="shared" si="63"/>
        <v>0</v>
      </c>
      <c r="W131" s="133">
        <f t="shared" si="63"/>
        <v>0</v>
      </c>
      <c r="X131" s="133">
        <f t="shared" si="63"/>
        <v>0</v>
      </c>
      <c r="Y131" s="133">
        <f t="shared" si="63"/>
        <v>0</v>
      </c>
      <c r="Z131" s="133">
        <f t="shared" si="63"/>
        <v>0</v>
      </c>
      <c r="AA131" s="133">
        <f t="shared" si="63"/>
        <v>0</v>
      </c>
      <c r="AB131" s="133">
        <f t="shared" si="63"/>
        <v>0</v>
      </c>
      <c r="AC131" s="133">
        <f t="shared" si="63"/>
        <v>0</v>
      </c>
      <c r="AD131" s="133">
        <f t="shared" si="63"/>
        <v>0</v>
      </c>
      <c r="AE131" s="133">
        <f t="shared" si="63"/>
        <v>0</v>
      </c>
      <c r="AF131" s="133">
        <f t="shared" si="63"/>
        <v>0</v>
      </c>
      <c r="AG131" s="133">
        <f t="shared" si="63"/>
        <v>0</v>
      </c>
      <c r="AH131" s="133">
        <f t="shared" si="63"/>
        <v>0</v>
      </c>
      <c r="AI131" s="133">
        <f t="shared" si="63"/>
        <v>0</v>
      </c>
    </row>
    <row r="132" spans="1:35" s="5" customFormat="1" ht="15.75" x14ac:dyDescent="0.25">
      <c r="A132" s="132" t="s">
        <v>42</v>
      </c>
      <c r="B132" s="132"/>
      <c r="C132" s="133"/>
      <c r="D132" s="137"/>
      <c r="E132" s="133"/>
      <c r="F132" s="133">
        <f t="shared" ref="F132:AI132" si="64">IF(AND(F$44&gt;$B$16, F$44&lt;=$B$16+$I$28),PMT($I$27,$I$28,$I$30),0)</f>
        <v>0</v>
      </c>
      <c r="G132" s="133">
        <f t="shared" si="64"/>
        <v>0</v>
      </c>
      <c r="H132" s="133">
        <f t="shared" si="64"/>
        <v>0</v>
      </c>
      <c r="I132" s="133">
        <f t="shared" si="64"/>
        <v>0</v>
      </c>
      <c r="J132" s="133">
        <f t="shared" si="64"/>
        <v>0</v>
      </c>
      <c r="K132" s="133">
        <f t="shared" si="64"/>
        <v>0</v>
      </c>
      <c r="L132" s="133">
        <f t="shared" si="64"/>
        <v>0</v>
      </c>
      <c r="M132" s="133">
        <f t="shared" si="64"/>
        <v>0</v>
      </c>
      <c r="N132" s="133">
        <f t="shared" si="64"/>
        <v>0</v>
      </c>
      <c r="O132" s="133">
        <f t="shared" si="64"/>
        <v>0</v>
      </c>
      <c r="P132" s="133">
        <f t="shared" si="64"/>
        <v>0</v>
      </c>
      <c r="Q132" s="133">
        <f t="shared" si="64"/>
        <v>0</v>
      </c>
      <c r="R132" s="133">
        <f t="shared" si="64"/>
        <v>0</v>
      </c>
      <c r="S132" s="133">
        <f t="shared" si="64"/>
        <v>0</v>
      </c>
      <c r="T132" s="133">
        <f t="shared" si="64"/>
        <v>0</v>
      </c>
      <c r="U132" s="133">
        <f t="shared" si="64"/>
        <v>0</v>
      </c>
      <c r="V132" s="133">
        <f t="shared" si="64"/>
        <v>0</v>
      </c>
      <c r="W132" s="133">
        <f t="shared" si="64"/>
        <v>0</v>
      </c>
      <c r="X132" s="133">
        <f t="shared" si="64"/>
        <v>0</v>
      </c>
      <c r="Y132" s="133">
        <f t="shared" si="64"/>
        <v>0</v>
      </c>
      <c r="Z132" s="133">
        <f t="shared" si="64"/>
        <v>0</v>
      </c>
      <c r="AA132" s="133">
        <f t="shared" si="64"/>
        <v>0</v>
      </c>
      <c r="AB132" s="133">
        <f t="shared" si="64"/>
        <v>0</v>
      </c>
      <c r="AC132" s="133">
        <f t="shared" si="64"/>
        <v>0</v>
      </c>
      <c r="AD132" s="133">
        <f t="shared" si="64"/>
        <v>0</v>
      </c>
      <c r="AE132" s="133">
        <f t="shared" si="64"/>
        <v>0</v>
      </c>
      <c r="AF132" s="133">
        <f t="shared" si="64"/>
        <v>0</v>
      </c>
      <c r="AG132" s="133">
        <f t="shared" si="64"/>
        <v>0</v>
      </c>
      <c r="AH132" s="133">
        <f t="shared" si="64"/>
        <v>0</v>
      </c>
      <c r="AI132" s="133">
        <f t="shared" si="64"/>
        <v>0</v>
      </c>
    </row>
    <row r="133" spans="1:35" s="5" customFormat="1" ht="15.75" x14ac:dyDescent="0.25">
      <c r="A133" s="132" t="s">
        <v>43</v>
      </c>
      <c r="B133" s="132"/>
      <c r="C133" s="133"/>
      <c r="D133" s="137"/>
      <c r="E133" s="133"/>
      <c r="F133" s="133">
        <f>F132-F134</f>
        <v>0</v>
      </c>
      <c r="G133" s="133">
        <f t="shared" ref="G133:AI133" si="65">G132-G134</f>
        <v>0</v>
      </c>
      <c r="H133" s="133">
        <f t="shared" si="65"/>
        <v>0</v>
      </c>
      <c r="I133" s="133">
        <f t="shared" si="65"/>
        <v>0</v>
      </c>
      <c r="J133" s="133">
        <f t="shared" si="65"/>
        <v>0</v>
      </c>
      <c r="K133" s="133">
        <f t="shared" si="65"/>
        <v>0</v>
      </c>
      <c r="L133" s="133">
        <f t="shared" si="65"/>
        <v>0</v>
      </c>
      <c r="M133" s="133">
        <f t="shared" si="65"/>
        <v>0</v>
      </c>
      <c r="N133" s="133">
        <f t="shared" si="65"/>
        <v>0</v>
      </c>
      <c r="O133" s="133">
        <f t="shared" si="65"/>
        <v>0</v>
      </c>
      <c r="P133" s="133">
        <f t="shared" si="65"/>
        <v>0</v>
      </c>
      <c r="Q133" s="133">
        <f t="shared" si="65"/>
        <v>0</v>
      </c>
      <c r="R133" s="133">
        <f t="shared" si="65"/>
        <v>0</v>
      </c>
      <c r="S133" s="133">
        <f t="shared" si="65"/>
        <v>0</v>
      </c>
      <c r="T133" s="133">
        <f t="shared" si="65"/>
        <v>0</v>
      </c>
      <c r="U133" s="133">
        <f t="shared" si="65"/>
        <v>0</v>
      </c>
      <c r="V133" s="133">
        <f t="shared" si="65"/>
        <v>0</v>
      </c>
      <c r="W133" s="133">
        <f t="shared" si="65"/>
        <v>0</v>
      </c>
      <c r="X133" s="133">
        <f t="shared" si="65"/>
        <v>0</v>
      </c>
      <c r="Y133" s="133">
        <f t="shared" si="65"/>
        <v>0</v>
      </c>
      <c r="Z133" s="133">
        <f t="shared" si="65"/>
        <v>0</v>
      </c>
      <c r="AA133" s="133">
        <f t="shared" si="65"/>
        <v>0</v>
      </c>
      <c r="AB133" s="133">
        <f t="shared" si="65"/>
        <v>0</v>
      </c>
      <c r="AC133" s="133">
        <f t="shared" si="65"/>
        <v>0</v>
      </c>
      <c r="AD133" s="133">
        <f t="shared" si="65"/>
        <v>0</v>
      </c>
      <c r="AE133" s="133">
        <f t="shared" si="65"/>
        <v>0</v>
      </c>
      <c r="AF133" s="133">
        <f t="shared" si="65"/>
        <v>0</v>
      </c>
      <c r="AG133" s="133">
        <f t="shared" si="65"/>
        <v>0</v>
      </c>
      <c r="AH133" s="133">
        <f t="shared" si="65"/>
        <v>0</v>
      </c>
      <c r="AI133" s="133">
        <f t="shared" si="65"/>
        <v>0</v>
      </c>
    </row>
    <row r="134" spans="1:35" s="5" customFormat="1" ht="15.75" x14ac:dyDescent="0.25">
      <c r="A134" s="132" t="s">
        <v>44</v>
      </c>
      <c r="B134" s="132"/>
      <c r="C134" s="133"/>
      <c r="D134" s="137"/>
      <c r="E134" s="133"/>
      <c r="F134" s="133">
        <f t="shared" ref="F134:AI134" si="66">IF(AND(F$44&gt;$B$16, F$44&lt;=$B$16+$I$28),-F$131*$I$27,0)</f>
        <v>0</v>
      </c>
      <c r="G134" s="133">
        <f t="shared" si="66"/>
        <v>0</v>
      </c>
      <c r="H134" s="133">
        <f t="shared" si="66"/>
        <v>0</v>
      </c>
      <c r="I134" s="133">
        <f t="shared" si="66"/>
        <v>0</v>
      </c>
      <c r="J134" s="133">
        <f t="shared" si="66"/>
        <v>0</v>
      </c>
      <c r="K134" s="133">
        <f t="shared" si="66"/>
        <v>0</v>
      </c>
      <c r="L134" s="133">
        <f t="shared" si="66"/>
        <v>0</v>
      </c>
      <c r="M134" s="133">
        <f t="shared" si="66"/>
        <v>0</v>
      </c>
      <c r="N134" s="133">
        <f t="shared" si="66"/>
        <v>0</v>
      </c>
      <c r="O134" s="133">
        <f t="shared" si="66"/>
        <v>0</v>
      </c>
      <c r="P134" s="133">
        <f t="shared" si="66"/>
        <v>0</v>
      </c>
      <c r="Q134" s="133">
        <f t="shared" si="66"/>
        <v>0</v>
      </c>
      <c r="R134" s="133">
        <f t="shared" si="66"/>
        <v>0</v>
      </c>
      <c r="S134" s="133">
        <f t="shared" si="66"/>
        <v>0</v>
      </c>
      <c r="T134" s="133">
        <f t="shared" si="66"/>
        <v>0</v>
      </c>
      <c r="U134" s="133">
        <f t="shared" si="66"/>
        <v>0</v>
      </c>
      <c r="V134" s="133">
        <f t="shared" si="66"/>
        <v>0</v>
      </c>
      <c r="W134" s="133">
        <f t="shared" si="66"/>
        <v>0</v>
      </c>
      <c r="X134" s="133">
        <f t="shared" si="66"/>
        <v>0</v>
      </c>
      <c r="Y134" s="133">
        <f t="shared" si="66"/>
        <v>0</v>
      </c>
      <c r="Z134" s="133">
        <f t="shared" si="66"/>
        <v>0</v>
      </c>
      <c r="AA134" s="133">
        <f t="shared" si="66"/>
        <v>0</v>
      </c>
      <c r="AB134" s="133">
        <f t="shared" si="66"/>
        <v>0</v>
      </c>
      <c r="AC134" s="133">
        <f t="shared" si="66"/>
        <v>0</v>
      </c>
      <c r="AD134" s="133">
        <f t="shared" si="66"/>
        <v>0</v>
      </c>
      <c r="AE134" s="133">
        <f t="shared" si="66"/>
        <v>0</v>
      </c>
      <c r="AF134" s="133">
        <f t="shared" si="66"/>
        <v>0</v>
      </c>
      <c r="AG134" s="133">
        <f t="shared" si="66"/>
        <v>0</v>
      </c>
      <c r="AH134" s="133">
        <f t="shared" si="66"/>
        <v>0</v>
      </c>
      <c r="AI134" s="133">
        <f t="shared" si="66"/>
        <v>0</v>
      </c>
    </row>
    <row r="135" spans="1:35" s="21" customFormat="1" ht="15.75" x14ac:dyDescent="0.25">
      <c r="A135" s="135" t="s">
        <v>45</v>
      </c>
      <c r="B135" s="135"/>
      <c r="C135" s="137"/>
      <c r="D135" s="137"/>
      <c r="E135" s="137"/>
      <c r="F135" s="137">
        <f>F131+F133</f>
        <v>0</v>
      </c>
      <c r="G135" s="137">
        <f t="shared" ref="G135:AI135" si="67">G131+G133</f>
        <v>0</v>
      </c>
      <c r="H135" s="137">
        <f t="shared" si="67"/>
        <v>0</v>
      </c>
      <c r="I135" s="137">
        <f t="shared" si="67"/>
        <v>0</v>
      </c>
      <c r="J135" s="137">
        <f t="shared" si="67"/>
        <v>0</v>
      </c>
      <c r="K135" s="137">
        <f t="shared" si="67"/>
        <v>0</v>
      </c>
      <c r="L135" s="137">
        <f t="shared" si="67"/>
        <v>0</v>
      </c>
      <c r="M135" s="137">
        <f>M131+M133</f>
        <v>0</v>
      </c>
      <c r="N135" s="137">
        <f t="shared" si="67"/>
        <v>0</v>
      </c>
      <c r="O135" s="137">
        <f t="shared" si="67"/>
        <v>0</v>
      </c>
      <c r="P135" s="137">
        <f t="shared" si="67"/>
        <v>0</v>
      </c>
      <c r="Q135" s="137">
        <f t="shared" si="67"/>
        <v>0</v>
      </c>
      <c r="R135" s="137">
        <f t="shared" si="67"/>
        <v>0</v>
      </c>
      <c r="S135" s="137">
        <f t="shared" si="67"/>
        <v>0</v>
      </c>
      <c r="T135" s="137">
        <f t="shared" si="67"/>
        <v>0</v>
      </c>
      <c r="U135" s="137">
        <f t="shared" si="67"/>
        <v>0</v>
      </c>
      <c r="V135" s="137">
        <f t="shared" si="67"/>
        <v>0</v>
      </c>
      <c r="W135" s="137">
        <f t="shared" si="67"/>
        <v>0</v>
      </c>
      <c r="X135" s="137">
        <f t="shared" si="67"/>
        <v>0</v>
      </c>
      <c r="Y135" s="137">
        <f t="shared" si="67"/>
        <v>0</v>
      </c>
      <c r="Z135" s="137">
        <f t="shared" si="67"/>
        <v>0</v>
      </c>
      <c r="AA135" s="137">
        <f t="shared" si="67"/>
        <v>0</v>
      </c>
      <c r="AB135" s="137">
        <f t="shared" si="67"/>
        <v>0</v>
      </c>
      <c r="AC135" s="137">
        <f t="shared" si="67"/>
        <v>0</v>
      </c>
      <c r="AD135" s="137">
        <f t="shared" si="67"/>
        <v>0</v>
      </c>
      <c r="AE135" s="137">
        <f t="shared" si="67"/>
        <v>0</v>
      </c>
      <c r="AF135" s="137">
        <f t="shared" si="67"/>
        <v>0</v>
      </c>
      <c r="AG135" s="137">
        <f t="shared" si="67"/>
        <v>0</v>
      </c>
      <c r="AH135" s="137">
        <f t="shared" si="67"/>
        <v>0</v>
      </c>
      <c r="AI135" s="137">
        <f t="shared" si="67"/>
        <v>0</v>
      </c>
    </row>
    <row r="136" spans="1:35" s="5" customFormat="1" x14ac:dyDescent="0.2">
      <c r="C136" s="22"/>
      <c r="U136" s="27"/>
    </row>
    <row r="137" spans="1:35" x14ac:dyDescent="0.2">
      <c r="T137" s="2"/>
      <c r="U137" s="26"/>
    </row>
    <row r="138" spans="1:35" ht="26.25" x14ac:dyDescent="0.4">
      <c r="A138" s="111" t="s">
        <v>135</v>
      </c>
      <c r="B138" s="10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10"/>
      <c r="AA138" s="110"/>
      <c r="AB138" s="110"/>
      <c r="AC138" s="110"/>
      <c r="AD138" s="110"/>
      <c r="AE138" s="110"/>
      <c r="AF138" s="110"/>
      <c r="AG138" s="110"/>
      <c r="AH138" s="110"/>
      <c r="AI138" s="110"/>
    </row>
    <row r="139" spans="1:35" ht="15.75" x14ac:dyDescent="0.25">
      <c r="A139" s="72"/>
      <c r="E139" s="4" t="s">
        <v>3</v>
      </c>
      <c r="F139" s="4" t="s">
        <v>3</v>
      </c>
      <c r="G139" s="4" t="s">
        <v>3</v>
      </c>
      <c r="H139" s="4" t="s">
        <v>3</v>
      </c>
      <c r="I139" s="4" t="s">
        <v>3</v>
      </c>
      <c r="J139" s="4" t="s">
        <v>3</v>
      </c>
      <c r="K139" s="4" t="s">
        <v>3</v>
      </c>
      <c r="L139" s="4" t="s">
        <v>3</v>
      </c>
      <c r="M139" s="4" t="s">
        <v>3</v>
      </c>
      <c r="N139" s="4" t="s">
        <v>3</v>
      </c>
      <c r="O139" s="4" t="s">
        <v>3</v>
      </c>
      <c r="P139" s="4" t="s">
        <v>3</v>
      </c>
      <c r="Q139" s="4" t="s">
        <v>3</v>
      </c>
      <c r="R139" s="4" t="s">
        <v>3</v>
      </c>
      <c r="S139" s="4" t="s">
        <v>3</v>
      </c>
      <c r="T139" s="4" t="s">
        <v>3</v>
      </c>
      <c r="U139" s="4" t="s">
        <v>3</v>
      </c>
      <c r="V139" s="4" t="s">
        <v>3</v>
      </c>
      <c r="W139" s="4" t="s">
        <v>3</v>
      </c>
      <c r="X139" s="4" t="s">
        <v>3</v>
      </c>
      <c r="Y139" s="4" t="s">
        <v>3</v>
      </c>
      <c r="Z139" s="4" t="s">
        <v>3</v>
      </c>
      <c r="AA139" s="4" t="s">
        <v>3</v>
      </c>
      <c r="AB139" s="4" t="s">
        <v>3</v>
      </c>
      <c r="AC139" s="4" t="s">
        <v>3</v>
      </c>
      <c r="AD139" s="4" t="s">
        <v>3</v>
      </c>
      <c r="AE139" s="4" t="s">
        <v>3</v>
      </c>
      <c r="AF139" s="4" t="s">
        <v>3</v>
      </c>
      <c r="AG139" s="4" t="s">
        <v>3</v>
      </c>
      <c r="AH139" s="4" t="s">
        <v>3</v>
      </c>
      <c r="AI139" s="4" t="s">
        <v>3</v>
      </c>
    </row>
    <row r="140" spans="1:35" ht="15.75" x14ac:dyDescent="0.25">
      <c r="A140" s="71"/>
      <c r="B140" s="71"/>
      <c r="E140" s="4">
        <v>0</v>
      </c>
      <c r="F140" s="4">
        <v>1</v>
      </c>
      <c r="G140" s="4">
        <v>2</v>
      </c>
      <c r="H140" s="4">
        <v>3</v>
      </c>
      <c r="I140" s="4">
        <v>4</v>
      </c>
      <c r="J140" s="4">
        <v>5</v>
      </c>
      <c r="K140" s="4">
        <v>6</v>
      </c>
      <c r="L140" s="4">
        <v>7</v>
      </c>
      <c r="M140" s="4">
        <v>8</v>
      </c>
      <c r="N140" s="4">
        <v>9</v>
      </c>
      <c r="O140" s="4">
        <v>10</v>
      </c>
      <c r="P140" s="4">
        <v>11</v>
      </c>
      <c r="Q140" s="4">
        <v>12</v>
      </c>
      <c r="R140" s="4">
        <v>13</v>
      </c>
      <c r="S140" s="4">
        <v>14</v>
      </c>
      <c r="T140" s="4">
        <v>15</v>
      </c>
      <c r="U140" s="4">
        <v>16</v>
      </c>
      <c r="V140" s="4">
        <v>17</v>
      </c>
      <c r="W140" s="4">
        <v>18</v>
      </c>
      <c r="X140" s="4">
        <v>19</v>
      </c>
      <c r="Y140" s="4">
        <v>20</v>
      </c>
      <c r="Z140" s="4">
        <v>21</v>
      </c>
      <c r="AA140" s="4">
        <v>22</v>
      </c>
      <c r="AB140" s="4">
        <v>23</v>
      </c>
      <c r="AC140" s="4">
        <v>24</v>
      </c>
      <c r="AD140" s="4">
        <v>25</v>
      </c>
      <c r="AE140" s="4">
        <v>26</v>
      </c>
      <c r="AF140" s="4">
        <v>27</v>
      </c>
      <c r="AG140" s="4">
        <v>28</v>
      </c>
      <c r="AH140" s="4">
        <v>29</v>
      </c>
      <c r="AI140" s="4">
        <v>30</v>
      </c>
    </row>
    <row r="141" spans="1:35" ht="18" x14ac:dyDescent="0.25">
      <c r="A141" s="169" t="s">
        <v>165</v>
      </c>
      <c r="C141" s="184" t="s">
        <v>200</v>
      </c>
      <c r="T141" s="2"/>
      <c r="U141" s="26"/>
    </row>
    <row r="142" spans="1:35" x14ac:dyDescent="0.2">
      <c r="A142" s="170" t="s">
        <v>171</v>
      </c>
      <c r="B142" s="113">
        <f>'User Inputs'!D39</f>
        <v>0.06</v>
      </c>
      <c r="C142" s="182">
        <f>E142+NPV(B142,F142:AI142)</f>
        <v>0</v>
      </c>
      <c r="E142" s="40">
        <f t="shared" ref="E142:AI142" si="68">IF($B$14="Outside Economy",E$79,0)</f>
        <v>0</v>
      </c>
      <c r="F142" s="40">
        <f t="shared" si="68"/>
        <v>0</v>
      </c>
      <c r="G142" s="40">
        <f t="shared" si="68"/>
        <v>0</v>
      </c>
      <c r="H142" s="40">
        <f t="shared" si="68"/>
        <v>0</v>
      </c>
      <c r="I142" s="40">
        <f t="shared" si="68"/>
        <v>0</v>
      </c>
      <c r="J142" s="40">
        <f t="shared" si="68"/>
        <v>0</v>
      </c>
      <c r="K142" s="40">
        <f t="shared" si="68"/>
        <v>0</v>
      </c>
      <c r="L142" s="40">
        <f t="shared" si="68"/>
        <v>0</v>
      </c>
      <c r="M142" s="40">
        <f t="shared" si="68"/>
        <v>0</v>
      </c>
      <c r="N142" s="40">
        <f t="shared" si="68"/>
        <v>0</v>
      </c>
      <c r="O142" s="40">
        <f t="shared" si="68"/>
        <v>0</v>
      </c>
      <c r="P142" s="40">
        <f t="shared" si="68"/>
        <v>0</v>
      </c>
      <c r="Q142" s="40">
        <f t="shared" si="68"/>
        <v>0</v>
      </c>
      <c r="R142" s="40">
        <f t="shared" si="68"/>
        <v>0</v>
      </c>
      <c r="S142" s="40">
        <f t="shared" si="68"/>
        <v>0</v>
      </c>
      <c r="T142" s="40">
        <f t="shared" si="68"/>
        <v>0</v>
      </c>
      <c r="U142" s="40">
        <f t="shared" si="68"/>
        <v>0</v>
      </c>
      <c r="V142" s="40">
        <f t="shared" si="68"/>
        <v>0</v>
      </c>
      <c r="W142" s="40">
        <f t="shared" si="68"/>
        <v>0</v>
      </c>
      <c r="X142" s="40">
        <f t="shared" si="68"/>
        <v>0</v>
      </c>
      <c r="Y142" s="40">
        <f t="shared" si="68"/>
        <v>0</v>
      </c>
      <c r="Z142" s="40">
        <f t="shared" si="68"/>
        <v>0</v>
      </c>
      <c r="AA142" s="40">
        <f t="shared" si="68"/>
        <v>0</v>
      </c>
      <c r="AB142" s="40">
        <f t="shared" si="68"/>
        <v>0</v>
      </c>
      <c r="AC142" s="40">
        <f t="shared" si="68"/>
        <v>0</v>
      </c>
      <c r="AD142" s="40">
        <f t="shared" si="68"/>
        <v>0</v>
      </c>
      <c r="AE142" s="40">
        <f t="shared" si="68"/>
        <v>0</v>
      </c>
      <c r="AF142" s="40">
        <f t="shared" si="68"/>
        <v>0</v>
      </c>
      <c r="AG142" s="40">
        <f t="shared" si="68"/>
        <v>0</v>
      </c>
      <c r="AH142" s="40">
        <f t="shared" si="68"/>
        <v>0</v>
      </c>
      <c r="AI142" s="40">
        <f t="shared" si="68"/>
        <v>0</v>
      </c>
    </row>
    <row r="143" spans="1:35" x14ac:dyDescent="0.2">
      <c r="A143" s="170" t="s">
        <v>168</v>
      </c>
      <c r="B143" s="113">
        <f>'User Inputs'!D40</f>
        <v>0.06</v>
      </c>
      <c r="C143" s="182">
        <f>E143+NPV(B143,F143:AI143)</f>
        <v>0</v>
      </c>
      <c r="E143" s="40">
        <f t="shared" ref="E143:AI143" si="69">-(E$53+E$97)*(1-$B$37)</f>
        <v>0</v>
      </c>
      <c r="F143" s="40">
        <f t="shared" si="69"/>
        <v>0</v>
      </c>
      <c r="G143" s="40">
        <f t="shared" si="69"/>
        <v>0</v>
      </c>
      <c r="H143" s="40">
        <f t="shared" si="69"/>
        <v>0</v>
      </c>
      <c r="I143" s="40">
        <f t="shared" si="69"/>
        <v>0</v>
      </c>
      <c r="J143" s="40">
        <f t="shared" si="69"/>
        <v>0</v>
      </c>
      <c r="K143" s="40">
        <f t="shared" si="69"/>
        <v>0</v>
      </c>
      <c r="L143" s="40">
        <f t="shared" si="69"/>
        <v>0</v>
      </c>
      <c r="M143" s="40">
        <f t="shared" si="69"/>
        <v>0</v>
      </c>
      <c r="N143" s="40">
        <f t="shared" si="69"/>
        <v>0</v>
      </c>
      <c r="O143" s="40">
        <f t="shared" si="69"/>
        <v>0</v>
      </c>
      <c r="P143" s="40">
        <f t="shared" si="69"/>
        <v>0</v>
      </c>
      <c r="Q143" s="40">
        <f t="shared" si="69"/>
        <v>0</v>
      </c>
      <c r="R143" s="40">
        <f t="shared" si="69"/>
        <v>0</v>
      </c>
      <c r="S143" s="40">
        <f t="shared" si="69"/>
        <v>0</v>
      </c>
      <c r="T143" s="40">
        <f t="shared" si="69"/>
        <v>0</v>
      </c>
      <c r="U143" s="40">
        <f t="shared" si="69"/>
        <v>0</v>
      </c>
      <c r="V143" s="40">
        <f t="shared" si="69"/>
        <v>0</v>
      </c>
      <c r="W143" s="40">
        <f t="shared" si="69"/>
        <v>0</v>
      </c>
      <c r="X143" s="40">
        <f t="shared" si="69"/>
        <v>0</v>
      </c>
      <c r="Y143" s="40">
        <f t="shared" si="69"/>
        <v>0</v>
      </c>
      <c r="Z143" s="40">
        <f t="shared" si="69"/>
        <v>0</v>
      </c>
      <c r="AA143" s="40">
        <f t="shared" si="69"/>
        <v>0</v>
      </c>
      <c r="AB143" s="40">
        <f t="shared" si="69"/>
        <v>0</v>
      </c>
      <c r="AC143" s="40">
        <f t="shared" si="69"/>
        <v>0</v>
      </c>
      <c r="AD143" s="40">
        <f t="shared" si="69"/>
        <v>0</v>
      </c>
      <c r="AE143" s="40">
        <f t="shared" si="69"/>
        <v>0</v>
      </c>
      <c r="AF143" s="40">
        <f t="shared" si="69"/>
        <v>0</v>
      </c>
      <c r="AG143" s="40">
        <f t="shared" si="69"/>
        <v>0</v>
      </c>
      <c r="AH143" s="40">
        <f t="shared" si="69"/>
        <v>0</v>
      </c>
      <c r="AI143" s="40">
        <f t="shared" si="69"/>
        <v>0</v>
      </c>
    </row>
    <row r="144" spans="1:35" x14ac:dyDescent="0.2">
      <c r="A144" s="170" t="s">
        <v>167</v>
      </c>
      <c r="B144" s="113">
        <f>'User Inputs'!D41</f>
        <v>0.06</v>
      </c>
      <c r="C144" s="182">
        <f>E144+NPV(B144,F144:AI144)</f>
        <v>0</v>
      </c>
      <c r="E144" s="40">
        <f t="shared" ref="E144:AI144" si="70">-E$88*ABS($G$32-1)-E$134*ABS($I$32-1)</f>
        <v>0</v>
      </c>
      <c r="F144" s="40">
        <f t="shared" si="70"/>
        <v>0</v>
      </c>
      <c r="G144" s="40">
        <f t="shared" si="70"/>
        <v>0</v>
      </c>
      <c r="H144" s="40">
        <f t="shared" si="70"/>
        <v>0</v>
      </c>
      <c r="I144" s="40">
        <f t="shared" si="70"/>
        <v>0</v>
      </c>
      <c r="J144" s="40">
        <f t="shared" si="70"/>
        <v>0</v>
      </c>
      <c r="K144" s="40">
        <f t="shared" si="70"/>
        <v>0</v>
      </c>
      <c r="L144" s="40">
        <f t="shared" si="70"/>
        <v>0</v>
      </c>
      <c r="M144" s="40">
        <f t="shared" si="70"/>
        <v>0</v>
      </c>
      <c r="N144" s="40">
        <f t="shared" si="70"/>
        <v>0</v>
      </c>
      <c r="O144" s="40">
        <f t="shared" si="70"/>
        <v>0</v>
      </c>
      <c r="P144" s="40">
        <f t="shared" si="70"/>
        <v>0</v>
      </c>
      <c r="Q144" s="40">
        <f t="shared" si="70"/>
        <v>0</v>
      </c>
      <c r="R144" s="40">
        <f t="shared" si="70"/>
        <v>0</v>
      </c>
      <c r="S144" s="40">
        <f t="shared" si="70"/>
        <v>0</v>
      </c>
      <c r="T144" s="40">
        <f t="shared" si="70"/>
        <v>0</v>
      </c>
      <c r="U144" s="40">
        <f t="shared" si="70"/>
        <v>0</v>
      </c>
      <c r="V144" s="40">
        <f t="shared" si="70"/>
        <v>0</v>
      </c>
      <c r="W144" s="40">
        <f t="shared" si="70"/>
        <v>0</v>
      </c>
      <c r="X144" s="40">
        <f t="shared" si="70"/>
        <v>0</v>
      </c>
      <c r="Y144" s="40">
        <f t="shared" si="70"/>
        <v>0</v>
      </c>
      <c r="Z144" s="40">
        <f t="shared" si="70"/>
        <v>0</v>
      </c>
      <c r="AA144" s="40">
        <f t="shared" si="70"/>
        <v>0</v>
      </c>
      <c r="AB144" s="40">
        <f t="shared" si="70"/>
        <v>0</v>
      </c>
      <c r="AC144" s="40">
        <f t="shared" si="70"/>
        <v>0</v>
      </c>
      <c r="AD144" s="40">
        <f t="shared" si="70"/>
        <v>0</v>
      </c>
      <c r="AE144" s="40">
        <f t="shared" si="70"/>
        <v>0</v>
      </c>
      <c r="AF144" s="40">
        <f t="shared" si="70"/>
        <v>0</v>
      </c>
      <c r="AG144" s="40">
        <f t="shared" si="70"/>
        <v>0</v>
      </c>
      <c r="AH144" s="40">
        <f t="shared" si="70"/>
        <v>0</v>
      </c>
      <c r="AI144" s="40">
        <f t="shared" si="70"/>
        <v>0</v>
      </c>
    </row>
    <row r="145" spans="1:35" ht="18" x14ac:dyDescent="0.25">
      <c r="A145" s="171" t="s">
        <v>154</v>
      </c>
      <c r="B145" s="9"/>
      <c r="C145" s="183"/>
      <c r="T145" s="2"/>
      <c r="U145" s="26"/>
    </row>
    <row r="146" spans="1:35" x14ac:dyDescent="0.2">
      <c r="A146" s="170" t="s">
        <v>169</v>
      </c>
      <c r="B146" s="113">
        <f>'User Inputs'!D43</f>
        <v>0.06</v>
      </c>
      <c r="C146" s="182">
        <f>E146+NPV(B146,F146:AI146)</f>
        <v>277335.87056641711</v>
      </c>
      <c r="E146" s="40">
        <f t="shared" ref="E146:AI146" si="71">IF($B$14="Local Economy",E$79,0)</f>
        <v>-621600</v>
      </c>
      <c r="F146" s="40">
        <f t="shared" si="71"/>
        <v>119081.19308806644</v>
      </c>
      <c r="G146" s="40">
        <f t="shared" si="71"/>
        <v>162963.33591621963</v>
      </c>
      <c r="H146" s="40">
        <f t="shared" si="71"/>
        <v>111648.56206550825</v>
      </c>
      <c r="I146" s="40">
        <f t="shared" si="71"/>
        <v>79928.331863430736</v>
      </c>
      <c r="J146" s="40">
        <f t="shared" si="71"/>
        <v>77621.847505210346</v>
      </c>
      <c r="K146" s="40">
        <f t="shared" si="71"/>
        <v>53160.956448932608</v>
      </c>
      <c r="L146" s="40">
        <f t="shared" si="71"/>
        <v>28641.982297961353</v>
      </c>
      <c r="M146" s="40">
        <f t="shared" si="71"/>
        <v>26161.075139947388</v>
      </c>
      <c r="N146" s="40">
        <f t="shared" si="71"/>
        <v>23615.417309905402</v>
      </c>
      <c r="O146" s="40">
        <f t="shared" si="71"/>
        <v>-29874.611457116334</v>
      </c>
      <c r="P146" s="40">
        <f t="shared" si="71"/>
        <v>18315.16247968578</v>
      </c>
      <c r="Q146" s="40">
        <f t="shared" si="71"/>
        <v>15552.694486912165</v>
      </c>
      <c r="R146" s="40">
        <f t="shared" si="71"/>
        <v>12709.708750267935</v>
      </c>
      <c r="S146" s="40">
        <f t="shared" si="71"/>
        <v>9781.6845976213954</v>
      </c>
      <c r="T146" s="40">
        <f t="shared" si="71"/>
        <v>6763.8420056902687</v>
      </c>
      <c r="U146" s="40">
        <f t="shared" si="71"/>
        <v>99653.607353398882</v>
      </c>
      <c r="V146" s="40">
        <f t="shared" si="71"/>
        <v>98014.345368872091</v>
      </c>
      <c r="W146" s="40">
        <f t="shared" si="71"/>
        <v>96363.630902430828</v>
      </c>
      <c r="X146" s="40">
        <f t="shared" si="71"/>
        <v>94701.148713285991</v>
      </c>
      <c r="Y146" s="40">
        <f t="shared" si="71"/>
        <v>42150.577593149588</v>
      </c>
      <c r="Z146" s="40">
        <f t="shared" si="71"/>
        <v>128025.24261565022</v>
      </c>
      <c r="AA146" s="40">
        <f t="shared" si="71"/>
        <v>129539.73826042078</v>
      </c>
      <c r="AB146" s="40">
        <f t="shared" si="71"/>
        <v>131075.69819097014</v>
      </c>
      <c r="AC146" s="40">
        <f t="shared" si="71"/>
        <v>132633.35751946107</v>
      </c>
      <c r="AD146" s="40">
        <f t="shared" si="71"/>
        <v>134212.95302940119</v>
      </c>
      <c r="AE146" s="40">
        <f t="shared" si="71"/>
        <v>0</v>
      </c>
      <c r="AF146" s="40">
        <f t="shared" si="71"/>
        <v>0</v>
      </c>
      <c r="AG146" s="40">
        <f t="shared" si="71"/>
        <v>0</v>
      </c>
      <c r="AH146" s="40">
        <f t="shared" si="71"/>
        <v>0</v>
      </c>
      <c r="AI146" s="40">
        <f t="shared" si="71"/>
        <v>0</v>
      </c>
    </row>
    <row r="147" spans="1:35" x14ac:dyDescent="0.2">
      <c r="A147" s="170" t="s">
        <v>153</v>
      </c>
      <c r="B147" s="113">
        <f>'User Inputs'!D44</f>
        <v>0.06</v>
      </c>
      <c r="C147" s="182">
        <f>E147+NPV(B147,F147:AI147)</f>
        <v>0</v>
      </c>
      <c r="E147" s="40">
        <f t="shared" ref="E147:AI147" si="72">E125</f>
        <v>0</v>
      </c>
      <c r="F147" s="40">
        <f t="shared" si="72"/>
        <v>0</v>
      </c>
      <c r="G147" s="40">
        <f t="shared" si="72"/>
        <v>0</v>
      </c>
      <c r="H147" s="40">
        <f t="shared" si="72"/>
        <v>0</v>
      </c>
      <c r="I147" s="40">
        <f t="shared" si="72"/>
        <v>0</v>
      </c>
      <c r="J147" s="40">
        <f t="shared" si="72"/>
        <v>0</v>
      </c>
      <c r="K147" s="40">
        <f t="shared" si="72"/>
        <v>0</v>
      </c>
      <c r="L147" s="40">
        <f t="shared" si="72"/>
        <v>0</v>
      </c>
      <c r="M147" s="40">
        <f t="shared" si="72"/>
        <v>0</v>
      </c>
      <c r="N147" s="40">
        <f t="shared" si="72"/>
        <v>0</v>
      </c>
      <c r="O147" s="40">
        <f t="shared" si="72"/>
        <v>0</v>
      </c>
      <c r="P147" s="40">
        <f t="shared" si="72"/>
        <v>0</v>
      </c>
      <c r="Q147" s="40">
        <f t="shared" si="72"/>
        <v>0</v>
      </c>
      <c r="R147" s="40">
        <f t="shared" si="72"/>
        <v>0</v>
      </c>
      <c r="S147" s="40">
        <f t="shared" si="72"/>
        <v>0</v>
      </c>
      <c r="T147" s="40">
        <f t="shared" si="72"/>
        <v>0</v>
      </c>
      <c r="U147" s="40">
        <f t="shared" si="72"/>
        <v>0</v>
      </c>
      <c r="V147" s="40">
        <f t="shared" si="72"/>
        <v>0</v>
      </c>
      <c r="W147" s="40">
        <f t="shared" si="72"/>
        <v>0</v>
      </c>
      <c r="X147" s="40">
        <f t="shared" si="72"/>
        <v>0</v>
      </c>
      <c r="Y147" s="40">
        <f t="shared" si="72"/>
        <v>0</v>
      </c>
      <c r="Z147" s="40">
        <f t="shared" si="72"/>
        <v>0</v>
      </c>
      <c r="AA147" s="40">
        <f t="shared" si="72"/>
        <v>0</v>
      </c>
      <c r="AB147" s="40">
        <f t="shared" si="72"/>
        <v>0</v>
      </c>
      <c r="AC147" s="40">
        <f t="shared" si="72"/>
        <v>0</v>
      </c>
      <c r="AD147" s="40">
        <f t="shared" si="72"/>
        <v>0</v>
      </c>
      <c r="AE147" s="40">
        <f t="shared" si="72"/>
        <v>0</v>
      </c>
      <c r="AF147" s="40">
        <f t="shared" si="72"/>
        <v>0</v>
      </c>
      <c r="AG147" s="40">
        <f t="shared" si="72"/>
        <v>0</v>
      </c>
      <c r="AH147" s="40">
        <f t="shared" si="72"/>
        <v>0</v>
      </c>
      <c r="AI147" s="40">
        <f t="shared" si="72"/>
        <v>0</v>
      </c>
    </row>
    <row r="148" spans="1:35" x14ac:dyDescent="0.2">
      <c r="A148" s="170" t="s">
        <v>159</v>
      </c>
      <c r="B148" s="113">
        <f>'User Inputs'!D45</f>
        <v>0.06</v>
      </c>
      <c r="C148" s="182">
        <f>E148+NPV(B148,F148:AI148)</f>
        <v>642050.22265572508</v>
      </c>
      <c r="E148" s="40">
        <f t="shared" ref="E148:AI148" si="73">-(E$53+E$97)*$B$37</f>
        <v>0</v>
      </c>
      <c r="F148" s="40">
        <f t="shared" si="73"/>
        <v>43690.5</v>
      </c>
      <c r="G148" s="40">
        <f t="shared" si="73"/>
        <v>44341.488450000004</v>
      </c>
      <c r="H148" s="40">
        <f t="shared" si="73"/>
        <v>45002.176627905006</v>
      </c>
      <c r="I148" s="40">
        <f t="shared" si="73"/>
        <v>45672.709059660789</v>
      </c>
      <c r="J148" s="40">
        <f t="shared" si="73"/>
        <v>46353.232424649737</v>
      </c>
      <c r="K148" s="40">
        <f t="shared" si="73"/>
        <v>47043.89558777702</v>
      </c>
      <c r="L148" s="40">
        <f t="shared" si="73"/>
        <v>47744.8496320349</v>
      </c>
      <c r="M148" s="40">
        <f t="shared" si="73"/>
        <v>48456.247891552201</v>
      </c>
      <c r="N148" s="40">
        <f t="shared" si="73"/>
        <v>49178.245985136338</v>
      </c>
      <c r="O148" s="40">
        <f t="shared" si="73"/>
        <v>49911.001850314868</v>
      </c>
      <c r="P148" s="40">
        <f t="shared" si="73"/>
        <v>50654.675777884557</v>
      </c>
      <c r="Q148" s="40">
        <f t="shared" si="73"/>
        <v>51409.430446975035</v>
      </c>
      <c r="R148" s="40">
        <f t="shared" si="73"/>
        <v>52175.430960634971</v>
      </c>
      <c r="S148" s="40">
        <f t="shared" si="73"/>
        <v>52952.844881948418</v>
      </c>
      <c r="T148" s="40">
        <f t="shared" si="73"/>
        <v>53741.842270689471</v>
      </c>
      <c r="U148" s="40">
        <f t="shared" si="73"/>
        <v>54542.595720522717</v>
      </c>
      <c r="V148" s="40">
        <f t="shared" si="73"/>
        <v>55355.280396758521</v>
      </c>
      <c r="W148" s="40">
        <f t="shared" si="73"/>
        <v>56180.074074670229</v>
      </c>
      <c r="X148" s="40">
        <f t="shared" si="73"/>
        <v>57017.157178382804</v>
      </c>
      <c r="Y148" s="40">
        <f t="shared" si="73"/>
        <v>57866.712820340697</v>
      </c>
      <c r="Z148" s="40">
        <f t="shared" si="73"/>
        <v>58728.926841363776</v>
      </c>
      <c r="AA148" s="40">
        <f t="shared" si="73"/>
        <v>59603.987851300095</v>
      </c>
      <c r="AB148" s="40">
        <f t="shared" si="73"/>
        <v>60492.087270284479</v>
      </c>
      <c r="AC148" s="40">
        <f t="shared" si="73"/>
        <v>61393.4193706117</v>
      </c>
      <c r="AD148" s="40">
        <f t="shared" si="73"/>
        <v>62308.181319233809</v>
      </c>
      <c r="AE148" s="40">
        <f t="shared" si="73"/>
        <v>0</v>
      </c>
      <c r="AF148" s="40">
        <f t="shared" si="73"/>
        <v>0</v>
      </c>
      <c r="AG148" s="40">
        <f t="shared" si="73"/>
        <v>0</v>
      </c>
      <c r="AH148" s="40">
        <f t="shared" si="73"/>
        <v>0</v>
      </c>
      <c r="AI148" s="40">
        <f t="shared" si="73"/>
        <v>0</v>
      </c>
    </row>
    <row r="149" spans="1:35" x14ac:dyDescent="0.2">
      <c r="A149" s="170" t="s">
        <v>161</v>
      </c>
      <c r="B149" s="113">
        <f>'User Inputs'!D46</f>
        <v>0.06</v>
      </c>
      <c r="C149" s="182">
        <f>E149+NPV(B149,F149:AI149)</f>
        <v>365534.70124622306</v>
      </c>
      <c r="E149" s="40">
        <f t="shared" ref="E149:AI149" si="74">-E$88*$G$32-E$134*$I$32</f>
        <v>0</v>
      </c>
      <c r="F149" s="40">
        <f t="shared" si="74"/>
        <v>55944</v>
      </c>
      <c r="G149" s="40">
        <f t="shared" si="74"/>
        <v>53540.491133283984</v>
      </c>
      <c r="H149" s="40">
        <f t="shared" si="74"/>
        <v>50992.771734565009</v>
      </c>
      <c r="I149" s="40">
        <f t="shared" si="74"/>
        <v>48292.189171922895</v>
      </c>
      <c r="J149" s="40">
        <f t="shared" si="74"/>
        <v>45429.571655522261</v>
      </c>
      <c r="K149" s="40">
        <f t="shared" si="74"/>
        <v>42395.197088137582</v>
      </c>
      <c r="L149" s="40">
        <f t="shared" si="74"/>
        <v>39178.760046709824</v>
      </c>
      <c r="M149" s="40">
        <f t="shared" si="74"/>
        <v>35769.336782796403</v>
      </c>
      <c r="N149" s="40">
        <f t="shared" si="74"/>
        <v>32155.348123048174</v>
      </c>
      <c r="O149" s="40">
        <f t="shared" si="74"/>
        <v>28324.52014371505</v>
      </c>
      <c r="P149" s="40">
        <f t="shared" si="74"/>
        <v>24263.842485621943</v>
      </c>
      <c r="Q149" s="40">
        <f t="shared" si="74"/>
        <v>19959.524168043245</v>
      </c>
      <c r="R149" s="40">
        <f t="shared" si="74"/>
        <v>15396.946751409825</v>
      </c>
      <c r="S149" s="40">
        <f t="shared" si="74"/>
        <v>10560.614689778402</v>
      </c>
      <c r="T149" s="40">
        <f t="shared" si="74"/>
        <v>5434.102704449092</v>
      </c>
      <c r="U149" s="40">
        <f t="shared" si="74"/>
        <v>0</v>
      </c>
      <c r="V149" s="40">
        <f t="shared" si="74"/>
        <v>0</v>
      </c>
      <c r="W149" s="40">
        <f t="shared" si="74"/>
        <v>0</v>
      </c>
      <c r="X149" s="40">
        <f t="shared" si="74"/>
        <v>0</v>
      </c>
      <c r="Y149" s="40">
        <f t="shared" si="74"/>
        <v>0</v>
      </c>
      <c r="Z149" s="40">
        <f t="shared" si="74"/>
        <v>0</v>
      </c>
      <c r="AA149" s="40">
        <f t="shared" si="74"/>
        <v>0</v>
      </c>
      <c r="AB149" s="40">
        <f t="shared" si="74"/>
        <v>0</v>
      </c>
      <c r="AC149" s="40">
        <f t="shared" si="74"/>
        <v>0</v>
      </c>
      <c r="AD149" s="40">
        <f t="shared" si="74"/>
        <v>0</v>
      </c>
      <c r="AE149" s="40">
        <f t="shared" si="74"/>
        <v>0</v>
      </c>
      <c r="AF149" s="40">
        <f t="shared" si="74"/>
        <v>0</v>
      </c>
      <c r="AG149" s="40">
        <f t="shared" si="74"/>
        <v>0</v>
      </c>
      <c r="AH149" s="40">
        <f t="shared" si="74"/>
        <v>0</v>
      </c>
      <c r="AI149" s="40">
        <f t="shared" si="74"/>
        <v>0</v>
      </c>
    </row>
    <row r="150" spans="1:35" x14ac:dyDescent="0.2">
      <c r="A150" s="170" t="s">
        <v>160</v>
      </c>
      <c r="B150" s="113">
        <f>'User Inputs'!D47</f>
        <v>0.06</v>
      </c>
      <c r="C150" s="182">
        <f>E150+NPV(B150,F150:AI150)</f>
        <v>127833.56158268398</v>
      </c>
      <c r="E150" s="40">
        <f t="shared" ref="E150:AI150" si="75">-E$54-E$98</f>
        <v>0</v>
      </c>
      <c r="F150" s="40">
        <f t="shared" si="75"/>
        <v>10000</v>
      </c>
      <c r="G150" s="40">
        <f t="shared" si="75"/>
        <v>10000</v>
      </c>
      <c r="H150" s="40">
        <f t="shared" si="75"/>
        <v>10000</v>
      </c>
      <c r="I150" s="40">
        <f t="shared" si="75"/>
        <v>10000</v>
      </c>
      <c r="J150" s="40">
        <f t="shared" si="75"/>
        <v>10000</v>
      </c>
      <c r="K150" s="40">
        <f t="shared" si="75"/>
        <v>10000</v>
      </c>
      <c r="L150" s="40">
        <f t="shared" si="75"/>
        <v>10000</v>
      </c>
      <c r="M150" s="40">
        <f t="shared" si="75"/>
        <v>10000</v>
      </c>
      <c r="N150" s="40">
        <f t="shared" si="75"/>
        <v>10000</v>
      </c>
      <c r="O150" s="40">
        <f t="shared" si="75"/>
        <v>10000</v>
      </c>
      <c r="P150" s="40">
        <f t="shared" si="75"/>
        <v>10000</v>
      </c>
      <c r="Q150" s="40">
        <f t="shared" si="75"/>
        <v>10000</v>
      </c>
      <c r="R150" s="40">
        <f t="shared" si="75"/>
        <v>10000</v>
      </c>
      <c r="S150" s="40">
        <f t="shared" si="75"/>
        <v>10000</v>
      </c>
      <c r="T150" s="40">
        <f t="shared" si="75"/>
        <v>10000</v>
      </c>
      <c r="U150" s="40">
        <f t="shared" si="75"/>
        <v>10000</v>
      </c>
      <c r="V150" s="40">
        <f t="shared" si="75"/>
        <v>10000</v>
      </c>
      <c r="W150" s="40">
        <f t="shared" si="75"/>
        <v>10000</v>
      </c>
      <c r="X150" s="40">
        <f t="shared" si="75"/>
        <v>10000</v>
      </c>
      <c r="Y150" s="40">
        <f t="shared" si="75"/>
        <v>10000</v>
      </c>
      <c r="Z150" s="40">
        <f t="shared" si="75"/>
        <v>10000</v>
      </c>
      <c r="AA150" s="40">
        <f t="shared" si="75"/>
        <v>10000</v>
      </c>
      <c r="AB150" s="40">
        <f t="shared" si="75"/>
        <v>10000</v>
      </c>
      <c r="AC150" s="40">
        <f t="shared" si="75"/>
        <v>10000</v>
      </c>
      <c r="AD150" s="40">
        <f t="shared" si="75"/>
        <v>10000</v>
      </c>
      <c r="AE150" s="40">
        <f t="shared" si="75"/>
        <v>0</v>
      </c>
      <c r="AF150" s="40">
        <f t="shared" si="75"/>
        <v>0</v>
      </c>
      <c r="AG150" s="40">
        <f t="shared" si="75"/>
        <v>0</v>
      </c>
      <c r="AH150" s="40">
        <f t="shared" si="75"/>
        <v>0</v>
      </c>
      <c r="AI150" s="40">
        <f t="shared" si="75"/>
        <v>0</v>
      </c>
    </row>
    <row r="151" spans="1:35" x14ac:dyDescent="0.2">
      <c r="C151" s="183"/>
      <c r="T151" s="2"/>
      <c r="U151" s="26"/>
    </row>
    <row r="152" spans="1:35" ht="15.75" x14ac:dyDescent="0.25">
      <c r="A152" s="112" t="s">
        <v>83</v>
      </c>
      <c r="B152" s="188" t="s">
        <v>235</v>
      </c>
      <c r="C152" s="182">
        <f>C153+C154</f>
        <v>1412754.3560510487</v>
      </c>
      <c r="E152" s="40">
        <f t="shared" ref="E152:AI152" si="76">SUM(E142:E150)</f>
        <v>-621600</v>
      </c>
      <c r="F152" s="40">
        <f t="shared" si="76"/>
        <v>228715.69308806644</v>
      </c>
      <c r="G152" s="40">
        <f t="shared" si="76"/>
        <v>270845.31549950363</v>
      </c>
      <c r="H152" s="40">
        <f t="shared" si="76"/>
        <v>217643.51042797827</v>
      </c>
      <c r="I152" s="40">
        <f t="shared" si="76"/>
        <v>183893.23009501441</v>
      </c>
      <c r="J152" s="40">
        <f t="shared" si="76"/>
        <v>179404.65158538235</v>
      </c>
      <c r="K152" s="40">
        <f t="shared" si="76"/>
        <v>152600.04912484722</v>
      </c>
      <c r="L152" s="40">
        <f t="shared" si="76"/>
        <v>125565.59197670608</v>
      </c>
      <c r="M152" s="40">
        <f t="shared" si="76"/>
        <v>120386.659814296</v>
      </c>
      <c r="N152" s="40">
        <f t="shared" si="76"/>
        <v>114949.01141808991</v>
      </c>
      <c r="O152" s="40">
        <f t="shared" si="76"/>
        <v>58360.91053691358</v>
      </c>
      <c r="P152" s="40">
        <f t="shared" si="76"/>
        <v>103233.68074319229</v>
      </c>
      <c r="Q152" s="40">
        <f t="shared" si="76"/>
        <v>96921.649101930438</v>
      </c>
      <c r="R152" s="40">
        <f t="shared" si="76"/>
        <v>90282.086462312727</v>
      </c>
      <c r="S152" s="40">
        <f t="shared" si="76"/>
        <v>83295.144169348219</v>
      </c>
      <c r="T152" s="40">
        <f t="shared" si="76"/>
        <v>75939.786980828838</v>
      </c>
      <c r="U152" s="40">
        <f t="shared" si="76"/>
        <v>164196.20307392161</v>
      </c>
      <c r="V152" s="40">
        <f t="shared" si="76"/>
        <v>163369.62576563063</v>
      </c>
      <c r="W152" s="40">
        <f t="shared" si="76"/>
        <v>162543.70497710106</v>
      </c>
      <c r="X152" s="40">
        <f t="shared" si="76"/>
        <v>161718.3058916688</v>
      </c>
      <c r="Y152" s="40">
        <f t="shared" si="76"/>
        <v>110017.29041349029</v>
      </c>
      <c r="Z152" s="40">
        <f t="shared" si="76"/>
        <v>196754.16945701401</v>
      </c>
      <c r="AA152" s="40">
        <f t="shared" si="76"/>
        <v>199143.72611172087</v>
      </c>
      <c r="AB152" s="40">
        <f t="shared" si="76"/>
        <v>201567.78546125462</v>
      </c>
      <c r="AC152" s="40">
        <f t="shared" si="76"/>
        <v>204026.77689007277</v>
      </c>
      <c r="AD152" s="40">
        <f t="shared" si="76"/>
        <v>206521.13434863501</v>
      </c>
      <c r="AE152" s="40">
        <f t="shared" si="76"/>
        <v>0</v>
      </c>
      <c r="AF152" s="40">
        <f t="shared" si="76"/>
        <v>0</v>
      </c>
      <c r="AG152" s="40">
        <f t="shared" si="76"/>
        <v>0</v>
      </c>
      <c r="AH152" s="40">
        <f t="shared" si="76"/>
        <v>0</v>
      </c>
      <c r="AI152" s="40">
        <f t="shared" si="76"/>
        <v>0</v>
      </c>
    </row>
    <row r="153" spans="1:35" x14ac:dyDescent="0.2">
      <c r="A153" s="37" t="s">
        <v>154</v>
      </c>
      <c r="B153" s="113">
        <f>'User Inputs'!D42</f>
        <v>0.06</v>
      </c>
      <c r="C153" s="182">
        <f t="shared" ref="C153:C154" si="77">E153+NPV(B153,F153:AI153)</f>
        <v>1412754.3560510487</v>
      </c>
      <c r="E153" s="40">
        <f>SUM(E146:E150)</f>
        <v>-621600</v>
      </c>
      <c r="F153" s="40">
        <f t="shared" ref="F153:AI153" si="78">SUM(F146:F150)</f>
        <v>228715.69308806644</v>
      </c>
      <c r="G153" s="40">
        <f t="shared" si="78"/>
        <v>270845.31549950363</v>
      </c>
      <c r="H153" s="40">
        <f t="shared" si="78"/>
        <v>217643.51042797827</v>
      </c>
      <c r="I153" s="40">
        <f t="shared" si="78"/>
        <v>183893.23009501441</v>
      </c>
      <c r="J153" s="40">
        <f t="shared" si="78"/>
        <v>179404.65158538235</v>
      </c>
      <c r="K153" s="40">
        <f t="shared" si="78"/>
        <v>152600.04912484722</v>
      </c>
      <c r="L153" s="40">
        <f t="shared" si="78"/>
        <v>125565.59197670608</v>
      </c>
      <c r="M153" s="40">
        <f t="shared" si="78"/>
        <v>120386.659814296</v>
      </c>
      <c r="N153" s="40">
        <f t="shared" si="78"/>
        <v>114949.01141808991</v>
      </c>
      <c r="O153" s="40">
        <f t="shared" si="78"/>
        <v>58360.91053691358</v>
      </c>
      <c r="P153" s="40">
        <f t="shared" si="78"/>
        <v>103233.68074319229</v>
      </c>
      <c r="Q153" s="40">
        <f t="shared" si="78"/>
        <v>96921.649101930438</v>
      </c>
      <c r="R153" s="40">
        <f t="shared" si="78"/>
        <v>90282.086462312727</v>
      </c>
      <c r="S153" s="40">
        <f t="shared" si="78"/>
        <v>83295.144169348219</v>
      </c>
      <c r="T153" s="40">
        <f t="shared" si="78"/>
        <v>75939.786980828838</v>
      </c>
      <c r="U153" s="40">
        <f t="shared" si="78"/>
        <v>164196.20307392161</v>
      </c>
      <c r="V153" s="40">
        <f t="shared" si="78"/>
        <v>163369.62576563063</v>
      </c>
      <c r="W153" s="40">
        <f t="shared" si="78"/>
        <v>162543.70497710106</v>
      </c>
      <c r="X153" s="40">
        <f t="shared" si="78"/>
        <v>161718.3058916688</v>
      </c>
      <c r="Y153" s="40">
        <f t="shared" si="78"/>
        <v>110017.29041349029</v>
      </c>
      <c r="Z153" s="40">
        <f t="shared" si="78"/>
        <v>196754.16945701401</v>
      </c>
      <c r="AA153" s="40">
        <f t="shared" si="78"/>
        <v>199143.72611172087</v>
      </c>
      <c r="AB153" s="40">
        <f t="shared" si="78"/>
        <v>201567.78546125462</v>
      </c>
      <c r="AC153" s="40">
        <f t="shared" si="78"/>
        <v>204026.77689007277</v>
      </c>
      <c r="AD153" s="40">
        <f t="shared" si="78"/>
        <v>206521.13434863501</v>
      </c>
      <c r="AE153" s="40">
        <f t="shared" si="78"/>
        <v>0</v>
      </c>
      <c r="AF153" s="40">
        <f t="shared" si="78"/>
        <v>0</v>
      </c>
      <c r="AG153" s="40">
        <f t="shared" si="78"/>
        <v>0</v>
      </c>
      <c r="AH153" s="40">
        <f t="shared" si="78"/>
        <v>0</v>
      </c>
      <c r="AI153" s="40">
        <f t="shared" si="78"/>
        <v>0</v>
      </c>
    </row>
    <row r="154" spans="1:35" x14ac:dyDescent="0.2">
      <c r="A154" s="37" t="s">
        <v>165</v>
      </c>
      <c r="B154" s="113">
        <f>'User Inputs'!D38</f>
        <v>0.06</v>
      </c>
      <c r="C154" s="182">
        <f t="shared" si="77"/>
        <v>0</v>
      </c>
      <c r="E154" s="40">
        <f t="shared" ref="E154:AI154" si="79">SUM(E142:E144)</f>
        <v>0</v>
      </c>
      <c r="F154" s="40">
        <f t="shared" si="79"/>
        <v>0</v>
      </c>
      <c r="G154" s="40">
        <f t="shared" si="79"/>
        <v>0</v>
      </c>
      <c r="H154" s="40">
        <f t="shared" si="79"/>
        <v>0</v>
      </c>
      <c r="I154" s="40">
        <f t="shared" si="79"/>
        <v>0</v>
      </c>
      <c r="J154" s="40">
        <f t="shared" si="79"/>
        <v>0</v>
      </c>
      <c r="K154" s="40">
        <f t="shared" si="79"/>
        <v>0</v>
      </c>
      <c r="L154" s="40">
        <f t="shared" si="79"/>
        <v>0</v>
      </c>
      <c r="M154" s="40">
        <f t="shared" si="79"/>
        <v>0</v>
      </c>
      <c r="N154" s="40">
        <f t="shared" si="79"/>
        <v>0</v>
      </c>
      <c r="O154" s="40">
        <f t="shared" si="79"/>
        <v>0</v>
      </c>
      <c r="P154" s="40">
        <f t="shared" si="79"/>
        <v>0</v>
      </c>
      <c r="Q154" s="40">
        <f t="shared" si="79"/>
        <v>0</v>
      </c>
      <c r="R154" s="40">
        <f t="shared" si="79"/>
        <v>0</v>
      </c>
      <c r="S154" s="40">
        <f t="shared" si="79"/>
        <v>0</v>
      </c>
      <c r="T154" s="40">
        <f t="shared" si="79"/>
        <v>0</v>
      </c>
      <c r="U154" s="40">
        <f t="shared" si="79"/>
        <v>0</v>
      </c>
      <c r="V154" s="40">
        <f t="shared" si="79"/>
        <v>0</v>
      </c>
      <c r="W154" s="40">
        <f t="shared" si="79"/>
        <v>0</v>
      </c>
      <c r="X154" s="40">
        <f t="shared" si="79"/>
        <v>0</v>
      </c>
      <c r="Y154" s="40">
        <f t="shared" si="79"/>
        <v>0</v>
      </c>
      <c r="Z154" s="40">
        <f t="shared" si="79"/>
        <v>0</v>
      </c>
      <c r="AA154" s="40">
        <f t="shared" si="79"/>
        <v>0</v>
      </c>
      <c r="AB154" s="40">
        <f t="shared" si="79"/>
        <v>0</v>
      </c>
      <c r="AC154" s="40">
        <f t="shared" si="79"/>
        <v>0</v>
      </c>
      <c r="AD154" s="40">
        <f t="shared" si="79"/>
        <v>0</v>
      </c>
      <c r="AE154" s="40">
        <f t="shared" si="79"/>
        <v>0</v>
      </c>
      <c r="AF154" s="40">
        <f t="shared" si="79"/>
        <v>0</v>
      </c>
      <c r="AG154" s="40">
        <f t="shared" si="79"/>
        <v>0</v>
      </c>
      <c r="AH154" s="40">
        <f t="shared" si="79"/>
        <v>0</v>
      </c>
      <c r="AI154" s="40">
        <f t="shared" si="79"/>
        <v>0</v>
      </c>
    </row>
    <row r="155" spans="1:35" x14ac:dyDescent="0.2">
      <c r="A155" s="37" t="s">
        <v>173</v>
      </c>
      <c r="C155" s="182">
        <f>AI155</f>
        <v>3250295.6934149205</v>
      </c>
      <c r="E155" s="40">
        <f>D155+E153</f>
        <v>-621600</v>
      </c>
      <c r="F155" s="40">
        <f t="shared" ref="F155:AI155" si="80">E155+F153</f>
        <v>-392884.30691193359</v>
      </c>
      <c r="G155" s="40">
        <f t="shared" si="80"/>
        <v>-122038.99141242995</v>
      </c>
      <c r="H155" s="40">
        <f t="shared" si="80"/>
        <v>95604.519015548314</v>
      </c>
      <c r="I155" s="40">
        <f t="shared" si="80"/>
        <v>279497.74911056273</v>
      </c>
      <c r="J155" s="40">
        <f t="shared" si="80"/>
        <v>458902.40069594508</v>
      </c>
      <c r="K155" s="40">
        <f t="shared" si="80"/>
        <v>611502.4498207923</v>
      </c>
      <c r="L155" s="40">
        <f t="shared" si="80"/>
        <v>737068.04179749836</v>
      </c>
      <c r="M155" s="40">
        <f t="shared" si="80"/>
        <v>857454.7016117943</v>
      </c>
      <c r="N155" s="40">
        <f t="shared" si="80"/>
        <v>972403.71302988427</v>
      </c>
      <c r="O155" s="40">
        <f t="shared" si="80"/>
        <v>1030764.6235667978</v>
      </c>
      <c r="P155" s="40">
        <f t="shared" si="80"/>
        <v>1133998.30430999</v>
      </c>
      <c r="Q155" s="40">
        <f t="shared" si="80"/>
        <v>1230919.9534119205</v>
      </c>
      <c r="R155" s="40">
        <f t="shared" si="80"/>
        <v>1321202.0398742333</v>
      </c>
      <c r="S155" s="40">
        <f t="shared" si="80"/>
        <v>1404497.1840435816</v>
      </c>
      <c r="T155" s="40">
        <f t="shared" si="80"/>
        <v>1480436.9710244103</v>
      </c>
      <c r="U155" s="40">
        <f t="shared" si="80"/>
        <v>1644633.1740983319</v>
      </c>
      <c r="V155" s="40">
        <f t="shared" si="80"/>
        <v>1808002.7998639625</v>
      </c>
      <c r="W155" s="40">
        <f t="shared" si="80"/>
        <v>1970546.5048410636</v>
      </c>
      <c r="X155" s="40">
        <f t="shared" si="80"/>
        <v>2132264.8107327325</v>
      </c>
      <c r="Y155" s="40">
        <f t="shared" si="80"/>
        <v>2242282.101146223</v>
      </c>
      <c r="Z155" s="40">
        <f t="shared" si="80"/>
        <v>2439036.2706032372</v>
      </c>
      <c r="AA155" s="40">
        <f t="shared" si="80"/>
        <v>2638179.996714958</v>
      </c>
      <c r="AB155" s="40">
        <f t="shared" si="80"/>
        <v>2839747.7821762124</v>
      </c>
      <c r="AC155" s="40">
        <f t="shared" si="80"/>
        <v>3043774.5590662854</v>
      </c>
      <c r="AD155" s="40">
        <f t="shared" si="80"/>
        <v>3250295.6934149205</v>
      </c>
      <c r="AE155" s="40">
        <f t="shared" si="80"/>
        <v>3250295.6934149205</v>
      </c>
      <c r="AF155" s="40">
        <f t="shared" si="80"/>
        <v>3250295.6934149205</v>
      </c>
      <c r="AG155" s="40">
        <f t="shared" si="80"/>
        <v>3250295.6934149205</v>
      </c>
      <c r="AH155" s="40">
        <f t="shared" si="80"/>
        <v>3250295.6934149205</v>
      </c>
      <c r="AI155" s="40">
        <f t="shared" si="80"/>
        <v>3250295.6934149205</v>
      </c>
    </row>
    <row r="156" spans="1:35" x14ac:dyDescent="0.2">
      <c r="A156" s="37" t="s">
        <v>174</v>
      </c>
      <c r="C156" s="182">
        <f>AI156</f>
        <v>0</v>
      </c>
      <c r="E156" s="40">
        <f>D156+E154</f>
        <v>0</v>
      </c>
      <c r="F156" s="40">
        <f t="shared" ref="F156:AI156" si="81">E156+F154</f>
        <v>0</v>
      </c>
      <c r="G156" s="40">
        <f t="shared" si="81"/>
        <v>0</v>
      </c>
      <c r="H156" s="40">
        <f t="shared" si="81"/>
        <v>0</v>
      </c>
      <c r="I156" s="40">
        <f t="shared" si="81"/>
        <v>0</v>
      </c>
      <c r="J156" s="40">
        <f t="shared" si="81"/>
        <v>0</v>
      </c>
      <c r="K156" s="40">
        <f t="shared" si="81"/>
        <v>0</v>
      </c>
      <c r="L156" s="40">
        <f t="shared" si="81"/>
        <v>0</v>
      </c>
      <c r="M156" s="40">
        <f t="shared" si="81"/>
        <v>0</v>
      </c>
      <c r="N156" s="40">
        <f t="shared" si="81"/>
        <v>0</v>
      </c>
      <c r="O156" s="40">
        <f t="shared" si="81"/>
        <v>0</v>
      </c>
      <c r="P156" s="40">
        <f t="shared" si="81"/>
        <v>0</v>
      </c>
      <c r="Q156" s="40">
        <f t="shared" si="81"/>
        <v>0</v>
      </c>
      <c r="R156" s="40">
        <f t="shared" si="81"/>
        <v>0</v>
      </c>
      <c r="S156" s="40">
        <f t="shared" si="81"/>
        <v>0</v>
      </c>
      <c r="T156" s="40">
        <f t="shared" si="81"/>
        <v>0</v>
      </c>
      <c r="U156" s="40">
        <f t="shared" si="81"/>
        <v>0</v>
      </c>
      <c r="V156" s="40">
        <f t="shared" si="81"/>
        <v>0</v>
      </c>
      <c r="W156" s="40">
        <f t="shared" si="81"/>
        <v>0</v>
      </c>
      <c r="X156" s="40">
        <f t="shared" si="81"/>
        <v>0</v>
      </c>
      <c r="Y156" s="40">
        <f t="shared" si="81"/>
        <v>0</v>
      </c>
      <c r="Z156" s="40">
        <f t="shared" si="81"/>
        <v>0</v>
      </c>
      <c r="AA156" s="40">
        <f t="shared" si="81"/>
        <v>0</v>
      </c>
      <c r="AB156" s="40">
        <f t="shared" si="81"/>
        <v>0</v>
      </c>
      <c r="AC156" s="40">
        <f t="shared" si="81"/>
        <v>0</v>
      </c>
      <c r="AD156" s="40">
        <f t="shared" si="81"/>
        <v>0</v>
      </c>
      <c r="AE156" s="40">
        <f t="shared" si="81"/>
        <v>0</v>
      </c>
      <c r="AF156" s="40">
        <f t="shared" si="81"/>
        <v>0</v>
      </c>
      <c r="AG156" s="40">
        <f t="shared" si="81"/>
        <v>0</v>
      </c>
      <c r="AH156" s="40">
        <f t="shared" si="81"/>
        <v>0</v>
      </c>
      <c r="AI156" s="40">
        <f t="shared" si="81"/>
        <v>0</v>
      </c>
    </row>
    <row r="157" spans="1:35" x14ac:dyDescent="0.2">
      <c r="A157" s="37" t="s">
        <v>240</v>
      </c>
      <c r="C157" s="182">
        <f>$B$15+IF($B$14="Local Economy",SysCost-$H$14,0)</f>
        <v>1554000</v>
      </c>
    </row>
    <row r="158" spans="1:35" x14ac:dyDescent="0.2">
      <c r="A158" s="37" t="s">
        <v>241</v>
      </c>
      <c r="C158" s="182">
        <f>-$B$15+IF($B$14="Outside Economy",SysCost-$H$14,0)</f>
        <v>0</v>
      </c>
    </row>
    <row r="159" spans="1:35" ht="15.75" x14ac:dyDescent="0.25">
      <c r="A159" s="163"/>
      <c r="C159" s="2"/>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row>
    <row r="160" spans="1:35" x14ac:dyDescent="0.2">
      <c r="C160" s="2"/>
    </row>
    <row r="161" spans="1:20" x14ac:dyDescent="0.2">
      <c r="C161" s="2"/>
    </row>
    <row r="162" spans="1:20" x14ac:dyDescent="0.2">
      <c r="C162" s="2"/>
    </row>
    <row r="163" spans="1:20" ht="15.75" x14ac:dyDescent="0.25">
      <c r="A163" s="163"/>
      <c r="C163" s="2"/>
      <c r="T163" s="2"/>
    </row>
    <row r="164" spans="1:20" x14ac:dyDescent="0.2">
      <c r="C164" s="2"/>
    </row>
    <row r="165" spans="1:20" x14ac:dyDescent="0.2">
      <c r="C165" s="2"/>
    </row>
    <row r="166" spans="1:20" x14ac:dyDescent="0.2">
      <c r="C166" s="2"/>
    </row>
    <row r="167" spans="1:20" x14ac:dyDescent="0.2">
      <c r="C167" s="2"/>
    </row>
    <row r="168" spans="1:20" x14ac:dyDescent="0.2">
      <c r="C168" s="2"/>
    </row>
    <row r="169" spans="1:20" x14ac:dyDescent="0.2">
      <c r="C169" s="2"/>
    </row>
    <row r="170" spans="1:20" x14ac:dyDescent="0.2">
      <c r="C170" s="2"/>
    </row>
    <row r="171" spans="1:20" x14ac:dyDescent="0.2">
      <c r="C171" s="2"/>
    </row>
  </sheetData>
  <sheetProtection algorithmName="SHA-512" hashValue="Ib7K7MLTmXep5UZMBKFBWdhRUWNHXrsvq6Vm242zdrQx8hVUgv7w+95YT57y7CDGUAezAOrLxEhcfzY+mB3fFg==" saltValue="OnQTTRW5hzm0wRMlu3pzu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1" max="22"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AP171"/>
  <sheetViews>
    <sheetView zoomScale="68" zoomScaleNormal="68" workbookViewId="0">
      <selection activeCell="A5" sqref="A5"/>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6" customWidth="1"/>
    <col min="21" max="41" width="18.28515625" style="2" customWidth="1"/>
    <col min="42" max="16384" width="9.140625" style="2"/>
  </cols>
  <sheetData>
    <row r="1" spans="1:42" s="53" customFormat="1" ht="26.25" customHeight="1" x14ac:dyDescent="0.4">
      <c r="A1" s="73" t="s">
        <v>75</v>
      </c>
      <c r="B1" s="73"/>
      <c r="C1" s="73"/>
      <c r="D1" s="2"/>
      <c r="E1" s="501" t="s">
        <v>104</v>
      </c>
      <c r="F1" s="501"/>
      <c r="G1" s="2"/>
      <c r="H1" s="499" t="s">
        <v>76</v>
      </c>
      <c r="I1" s="499"/>
      <c r="J1" s="499"/>
      <c r="K1" s="499"/>
      <c r="L1" s="499"/>
      <c r="M1" s="499"/>
      <c r="N1" s="499"/>
      <c r="O1" s="499"/>
      <c r="P1" s="499"/>
      <c r="Q1" s="499"/>
      <c r="R1" s="499"/>
      <c r="S1" s="499"/>
      <c r="T1" s="499"/>
      <c r="U1" s="2"/>
      <c r="V1" s="2"/>
      <c r="W1" s="2"/>
      <c r="X1" s="2"/>
      <c r="Y1" s="2"/>
      <c r="Z1" s="2"/>
      <c r="AA1" s="2"/>
      <c r="AB1" s="2"/>
      <c r="AC1" s="2"/>
      <c r="AD1" s="2"/>
      <c r="AE1" s="2"/>
      <c r="AF1" s="2"/>
      <c r="AG1" s="2"/>
      <c r="AH1" s="2"/>
      <c r="AI1" s="2"/>
      <c r="AJ1" s="2"/>
      <c r="AK1" s="2"/>
      <c r="AL1" s="2"/>
      <c r="AM1" s="2"/>
      <c r="AN1" s="2"/>
      <c r="AO1" s="2"/>
      <c r="AP1" s="2"/>
    </row>
    <row r="2" spans="1:42" s="53" customFormat="1" ht="26.25" x14ac:dyDescent="0.4">
      <c r="A2" s="73" t="s">
        <v>251</v>
      </c>
      <c r="B2" s="65"/>
      <c r="C2" s="115"/>
      <c r="D2" s="2"/>
      <c r="E2" s="501"/>
      <c r="F2" s="501"/>
      <c r="G2" s="2"/>
      <c r="H2" s="499"/>
      <c r="I2" s="499"/>
      <c r="J2" s="499"/>
      <c r="K2" s="499"/>
      <c r="L2" s="499"/>
      <c r="M2" s="499"/>
      <c r="N2" s="499"/>
      <c r="O2" s="499"/>
      <c r="P2" s="499"/>
      <c r="Q2" s="499"/>
      <c r="R2" s="499"/>
      <c r="S2" s="499"/>
      <c r="T2" s="499"/>
      <c r="U2" s="2"/>
      <c r="V2" s="2"/>
      <c r="W2" s="2"/>
      <c r="X2" s="2"/>
      <c r="Y2" s="2"/>
      <c r="Z2" s="2"/>
      <c r="AA2" s="2"/>
      <c r="AB2" s="2"/>
      <c r="AC2" s="2"/>
      <c r="AD2" s="2"/>
      <c r="AE2" s="2"/>
      <c r="AF2" s="2"/>
      <c r="AG2" s="2"/>
      <c r="AH2" s="2"/>
      <c r="AI2" s="2"/>
      <c r="AJ2" s="2"/>
      <c r="AK2" s="2"/>
      <c r="AL2" s="2"/>
      <c r="AM2" s="2"/>
      <c r="AN2" s="2"/>
      <c r="AO2" s="2"/>
      <c r="AP2" s="2"/>
    </row>
    <row r="3" spans="1:42" s="53" customFormat="1" ht="26.25" x14ac:dyDescent="0.4">
      <c r="A3" s="207" t="s">
        <v>250</v>
      </c>
      <c r="B3" s="73"/>
      <c r="C3" s="73"/>
      <c r="D3" s="2"/>
      <c r="E3" s="501"/>
      <c r="F3" s="501"/>
      <c r="G3" s="2"/>
      <c r="H3" s="499"/>
      <c r="I3" s="499"/>
      <c r="J3" s="499"/>
      <c r="K3" s="499"/>
      <c r="L3" s="499"/>
      <c r="M3" s="499"/>
      <c r="N3" s="499"/>
      <c r="O3" s="499"/>
      <c r="P3" s="499"/>
      <c r="Q3" s="499"/>
      <c r="R3" s="499"/>
      <c r="S3" s="499"/>
      <c r="T3" s="499"/>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0"/>
      <c r="B4" s="30"/>
      <c r="C4" s="16"/>
      <c r="D4" s="4" t="s">
        <v>54</v>
      </c>
      <c r="E4" s="67"/>
      <c r="H4" s="62"/>
      <c r="J4" s="30"/>
      <c r="K4" s="30"/>
      <c r="L4" s="30"/>
      <c r="M4" s="30"/>
      <c r="N4" s="30"/>
      <c r="O4" s="30"/>
      <c r="P4" s="30"/>
      <c r="Q4" s="5"/>
      <c r="R4" s="5"/>
      <c r="S4" s="5"/>
      <c r="T4" s="27"/>
      <c r="U4" s="5"/>
      <c r="V4" s="5"/>
      <c r="W4" s="5"/>
    </row>
    <row r="5" spans="1:42" ht="24" customHeight="1" x14ac:dyDescent="0.25">
      <c r="B5" s="32"/>
      <c r="C5" s="16"/>
      <c r="D5" s="203" t="s">
        <v>237</v>
      </c>
      <c r="R5" s="5"/>
      <c r="S5" s="5"/>
      <c r="T5" s="27"/>
      <c r="U5" s="5"/>
      <c r="V5" s="5"/>
      <c r="W5" s="5"/>
    </row>
    <row r="6" spans="1:42" ht="24" customHeight="1" x14ac:dyDescent="0.25">
      <c r="A6" s="69" t="s">
        <v>94</v>
      </c>
      <c r="B6" s="205" t="s">
        <v>149</v>
      </c>
      <c r="D6" s="204" t="s">
        <v>93</v>
      </c>
      <c r="T6" s="2"/>
    </row>
    <row r="7" spans="1:42" ht="18.75" customHeight="1" x14ac:dyDescent="0.25">
      <c r="A7" s="69"/>
      <c r="C7" s="2"/>
      <c r="T7" s="2"/>
    </row>
    <row r="8" spans="1:42" ht="18.75" customHeight="1" x14ac:dyDescent="0.25">
      <c r="A8" s="69" t="s">
        <v>82</v>
      </c>
      <c r="B8" s="75" t="str">
        <f>VLOOKUP($B$6,'User Inputs'!$B$10:$AB$14,'User Inputs'!$C$16)</f>
        <v>Community Owned (non-taxable)</v>
      </c>
      <c r="C8" s="2"/>
      <c r="H8" s="63"/>
      <c r="R8" s="5"/>
      <c r="S8" s="5"/>
      <c r="T8" s="27"/>
      <c r="U8" s="5"/>
      <c r="V8" s="5"/>
      <c r="W8" s="5"/>
    </row>
    <row r="9" spans="1:42" ht="18.75" customHeight="1" x14ac:dyDescent="0.25">
      <c r="A9" s="1" t="s">
        <v>27</v>
      </c>
      <c r="B9" s="75" t="str">
        <f>IF(VLOOKUP($B$6,'User Inputs'!$B$10:$AB$14,'User Inputs'!$E$16)='User Inputs'!$C$69,"Non-Taxable",
IF(VLOOKUP($B$6,'User Inputs'!$B$10:$AB$14,'User Inputs'!$E$16)='User Inputs'!$C$70,"Taxable (Corporation)", "Taxable (Residential)"))</f>
        <v>Non-Taxable</v>
      </c>
      <c r="C9" s="2"/>
      <c r="H9" s="63"/>
      <c r="R9" s="5"/>
      <c r="S9" s="5"/>
      <c r="T9" s="27"/>
      <c r="U9" s="5"/>
      <c r="V9" s="5"/>
      <c r="W9" s="5"/>
    </row>
    <row r="10" spans="1:42" ht="18.75" customHeight="1" x14ac:dyDescent="0.25">
      <c r="A10" s="8" t="s">
        <v>6</v>
      </c>
      <c r="B10" s="12"/>
      <c r="C10" s="13"/>
      <c r="E10" s="8" t="s">
        <v>25</v>
      </c>
      <c r="G10" s="5"/>
      <c r="H10" s="5"/>
      <c r="I10" s="99"/>
      <c r="J10" s="99"/>
      <c r="K10" s="99"/>
      <c r="L10" s="99"/>
      <c r="M10" s="99"/>
      <c r="N10" s="99"/>
      <c r="O10" s="100"/>
      <c r="P10" s="100"/>
      <c r="Q10" s="101"/>
      <c r="R10" s="100"/>
      <c r="S10" s="100"/>
      <c r="T10" s="99"/>
      <c r="U10" s="100"/>
      <c r="V10" s="100"/>
      <c r="W10" s="100"/>
      <c r="X10" s="100"/>
      <c r="Y10" s="100"/>
      <c r="Z10" s="100"/>
      <c r="AA10" s="100"/>
      <c r="AB10" s="100"/>
      <c r="AC10" s="100"/>
      <c r="AD10" s="100"/>
      <c r="AE10" s="100"/>
      <c r="AF10" s="100"/>
      <c r="AG10" s="100"/>
      <c r="AH10" s="100"/>
      <c r="AI10" s="100"/>
      <c r="AJ10" s="100"/>
      <c r="AK10" s="100"/>
      <c r="AL10" s="100"/>
      <c r="AM10" s="100"/>
      <c r="AN10" s="100"/>
    </row>
    <row r="11" spans="1:42" ht="20.25" customHeight="1" x14ac:dyDescent="0.2">
      <c r="A11" s="18" t="s">
        <v>28</v>
      </c>
      <c r="B11" s="116">
        <f>VLOOKUP($B$6,'User Inputs'!$B$10:$AB$14,'User Inputs'!$G$16)*1000</f>
        <v>1000000</v>
      </c>
      <c r="C11" s="13" t="s">
        <v>9</v>
      </c>
      <c r="E11" s="18" t="s">
        <v>0</v>
      </c>
      <c r="G11" s="78">
        <f>'User Inputs'!$D$32</f>
        <v>0.21</v>
      </c>
      <c r="H11" s="24"/>
      <c r="I11" s="102"/>
      <c r="J11" s="103"/>
      <c r="K11" s="102"/>
      <c r="L11" s="102"/>
      <c r="M11" s="100"/>
      <c r="N11" s="100"/>
      <c r="O11" s="101"/>
      <c r="P11" s="100"/>
      <c r="Q11" s="100"/>
      <c r="R11" s="99"/>
      <c r="S11" s="100"/>
      <c r="T11" s="100"/>
      <c r="U11" s="100"/>
      <c r="V11" s="100"/>
      <c r="W11" s="100"/>
      <c r="X11" s="100"/>
      <c r="Y11" s="100"/>
      <c r="Z11" s="100"/>
      <c r="AA11" s="100"/>
      <c r="AB11" s="100"/>
      <c r="AC11" s="100"/>
      <c r="AD11" s="100"/>
      <c r="AE11" s="100"/>
      <c r="AF11" s="100"/>
      <c r="AG11" s="100"/>
      <c r="AH11" s="100"/>
      <c r="AI11" s="100"/>
      <c r="AJ11" s="100"/>
      <c r="AK11" s="100"/>
      <c r="AL11" s="100"/>
      <c r="AM11" s="104">
        <v>28</v>
      </c>
      <c r="AN11" s="104">
        <v>29</v>
      </c>
      <c r="AO11" s="36">
        <v>30</v>
      </c>
    </row>
    <row r="12" spans="1:42" ht="18" customHeight="1" x14ac:dyDescent="0.2">
      <c r="A12" s="46" t="s">
        <v>62</v>
      </c>
      <c r="B12" s="117">
        <f>VLOOKUP($B$6,'User Inputs'!$B$10:$AB$14,'User Inputs'!$F$16)</f>
        <v>2.1</v>
      </c>
      <c r="C12" s="13" t="s">
        <v>121</v>
      </c>
      <c r="E12" s="18" t="s">
        <v>1</v>
      </c>
      <c r="G12" s="78">
        <f>'User Inputs'!$D$33</f>
        <v>0.08</v>
      </c>
      <c r="H12" s="13"/>
      <c r="I12" s="102"/>
      <c r="J12" s="102"/>
      <c r="K12" s="102"/>
      <c r="L12" s="102"/>
      <c r="M12" s="102"/>
      <c r="N12" s="100"/>
      <c r="O12" s="101"/>
      <c r="P12" s="100"/>
      <c r="Q12" s="100"/>
      <c r="R12" s="99"/>
      <c r="S12" s="100"/>
      <c r="T12" s="100"/>
      <c r="U12" s="100"/>
      <c r="V12" s="100"/>
      <c r="W12" s="100"/>
      <c r="X12" s="100"/>
      <c r="Y12" s="100"/>
      <c r="Z12" s="100"/>
      <c r="AA12" s="100"/>
      <c r="AB12" s="100"/>
      <c r="AC12" s="100"/>
      <c r="AD12" s="100"/>
      <c r="AE12" s="100"/>
      <c r="AF12" s="100"/>
      <c r="AG12" s="100"/>
      <c r="AH12" s="100"/>
      <c r="AI12" s="100"/>
      <c r="AJ12" s="100"/>
      <c r="AK12" s="100"/>
      <c r="AL12" s="100"/>
      <c r="AM12" s="100"/>
      <c r="AN12" s="100"/>
    </row>
    <row r="13" spans="1:42" ht="18" customHeight="1" x14ac:dyDescent="0.2">
      <c r="A13" s="46" t="s">
        <v>63</v>
      </c>
      <c r="B13" s="189">
        <f>costperwatt*SystemSize</f>
        <v>2100000</v>
      </c>
      <c r="C13" s="13"/>
      <c r="E13" s="18" t="s">
        <v>36</v>
      </c>
      <c r="G13" s="197">
        <f>G11+(G12*(1-G11))</f>
        <v>0.2732</v>
      </c>
      <c r="H13" s="13"/>
      <c r="I13" s="102"/>
      <c r="J13" s="102"/>
      <c r="K13" s="102"/>
      <c r="L13" s="102"/>
      <c r="M13" s="102"/>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row>
    <row r="14" spans="1:42" ht="18" customHeight="1" x14ac:dyDescent="0.2">
      <c r="A14" s="18" t="s">
        <v>166</v>
      </c>
      <c r="B14" s="179" t="str">
        <f>VLOOKUP($B$6,'User Inputs'!$B$10:$AB$14,'User Inputs'!$D$16)</f>
        <v>Local Economy</v>
      </c>
      <c r="C14" s="13"/>
      <c r="E14" s="18" t="s">
        <v>10</v>
      </c>
      <c r="G14" s="195">
        <f>IF(taxable="Non-Taxable", 0,VLOOKUP($B$6,'User Inputs'!$B$10:$AB$14,'User Inputs'!$H$16))</f>
        <v>0</v>
      </c>
      <c r="H14" s="196">
        <f>IF(taxable="Non-Taxable",0,SysCost*FedTaxCredit)</f>
        <v>0</v>
      </c>
      <c r="I14" s="102"/>
      <c r="J14" s="102"/>
      <c r="K14" s="102"/>
      <c r="L14" s="102"/>
      <c r="M14" s="102"/>
      <c r="N14" s="105"/>
      <c r="O14" s="106"/>
      <c r="P14" s="105"/>
      <c r="Q14" s="105"/>
      <c r="R14" s="105"/>
      <c r="S14" s="100"/>
      <c r="T14" s="100"/>
      <c r="U14" s="100"/>
      <c r="V14" s="100"/>
      <c r="W14" s="100"/>
      <c r="X14" s="100"/>
      <c r="Y14" s="100"/>
      <c r="Z14" s="100"/>
      <c r="AA14" s="100"/>
      <c r="AB14" s="100"/>
      <c r="AC14" s="100"/>
      <c r="AD14" s="100"/>
      <c r="AE14" s="100"/>
      <c r="AF14" s="100"/>
      <c r="AG14" s="100"/>
      <c r="AH14" s="100"/>
      <c r="AI14" s="100"/>
      <c r="AJ14" s="100"/>
      <c r="AK14" s="100"/>
      <c r="AL14" s="100"/>
      <c r="AM14" s="100"/>
      <c r="AN14" s="100"/>
    </row>
    <row r="15" spans="1:42" ht="18" customHeight="1" x14ac:dyDescent="0.2">
      <c r="A15" s="18" t="s">
        <v>129</v>
      </c>
      <c r="B15" s="120">
        <f>IF(VLOOKUP($B$6,'User Inputs'!$B$10:$AB$14,'User Inputs'!$W$16)=0, 0,IF(VLOOKUP($B$6,'User Inputs'!$B$10:$AB$14,'User Inputs'!$X$16)&lt;1,SysCost*VLOOKUP($B$6,'User Inputs'!$B$10:$AB$14,'User Inputs'!$X$16),VLOOKUP($B$6,'User Inputs'!$B$10:$AB$14,'User Inputs'!$X$16)))</f>
        <v>0</v>
      </c>
      <c r="C15" s="20"/>
      <c r="J15" s="102"/>
      <c r="K15" s="102"/>
      <c r="L15" s="102"/>
      <c r="M15" s="102"/>
      <c r="N15" s="107"/>
      <c r="O15" s="107"/>
      <c r="P15" s="107"/>
      <c r="Q15" s="107"/>
      <c r="R15" s="107"/>
      <c r="S15" s="100"/>
      <c r="T15" s="100"/>
      <c r="U15" s="100"/>
      <c r="V15" s="100"/>
      <c r="W15" s="100"/>
      <c r="X15" s="100"/>
      <c r="Y15" s="100"/>
      <c r="Z15" s="100"/>
      <c r="AA15" s="100"/>
      <c r="AB15" s="100"/>
      <c r="AC15" s="100"/>
      <c r="AD15" s="100"/>
      <c r="AE15" s="100"/>
      <c r="AF15" s="100"/>
      <c r="AG15" s="100"/>
      <c r="AH15" s="100"/>
      <c r="AI15" s="100"/>
      <c r="AJ15" s="100"/>
      <c r="AK15" s="100"/>
      <c r="AL15" s="100"/>
      <c r="AM15" s="100"/>
      <c r="AN15" s="100"/>
    </row>
    <row r="16" spans="1:42" ht="18" customHeight="1" x14ac:dyDescent="0.2">
      <c r="A16" s="18" t="s">
        <v>128</v>
      </c>
      <c r="B16" s="119">
        <f>VLOOKUP($B$6,'User Inputs'!$B$10:$AB$14,'User Inputs'!$W$16)</f>
        <v>0</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100"/>
      <c r="AL16" s="100"/>
    </row>
    <row r="17" spans="1:36" ht="18" customHeight="1" x14ac:dyDescent="0.2">
      <c r="A17" s="46" t="s">
        <v>69</v>
      </c>
      <c r="B17" s="190">
        <f>B18/B11</f>
        <v>0</v>
      </c>
      <c r="C17" s="20" t="s">
        <v>12</v>
      </c>
      <c r="E17" s="18" t="s">
        <v>95</v>
      </c>
      <c r="G17" s="198">
        <v>0.2</v>
      </c>
      <c r="H17" s="198">
        <v>0.32</v>
      </c>
      <c r="I17" s="198">
        <v>0.192</v>
      </c>
      <c r="J17" s="198">
        <v>0.1152</v>
      </c>
      <c r="K17" s="198">
        <v>0.1152</v>
      </c>
      <c r="L17" s="198">
        <v>5.7599999999999998E-2</v>
      </c>
      <c r="M17" s="107"/>
      <c r="N17" s="107"/>
      <c r="O17" s="107"/>
      <c r="P17" s="107"/>
      <c r="Q17" s="107"/>
      <c r="R17" s="107"/>
      <c r="S17" s="100"/>
      <c r="T17" s="100"/>
      <c r="U17" s="100"/>
      <c r="V17" s="100"/>
      <c r="W17" s="100"/>
      <c r="X17" s="100"/>
      <c r="Y17" s="100"/>
      <c r="Z17" s="100"/>
      <c r="AA17" s="100"/>
      <c r="AB17" s="100"/>
      <c r="AC17" s="100"/>
      <c r="AD17" s="100"/>
      <c r="AE17" s="100"/>
      <c r="AF17" s="100"/>
      <c r="AG17" s="100"/>
      <c r="AH17" s="100"/>
      <c r="AI17" s="100"/>
      <c r="AJ17" s="100"/>
    </row>
    <row r="18" spans="1:36" ht="18" customHeight="1" x14ac:dyDescent="0.2">
      <c r="A18" s="46" t="s">
        <v>70</v>
      </c>
      <c r="B18" s="118"/>
      <c r="C18" s="20"/>
      <c r="E18" s="18" t="s">
        <v>65</v>
      </c>
      <c r="G18" s="198">
        <f t="shared" ref="G18:AJ18" si="0">IF(taxable="Taxable (Corporation)",G17,0)</f>
        <v>0</v>
      </c>
      <c r="H18" s="198">
        <f t="shared" si="0"/>
        <v>0</v>
      </c>
      <c r="I18" s="198">
        <f t="shared" si="0"/>
        <v>0</v>
      </c>
      <c r="J18" s="198">
        <f t="shared" si="0"/>
        <v>0</v>
      </c>
      <c r="K18" s="198">
        <f t="shared" si="0"/>
        <v>0</v>
      </c>
      <c r="L18" s="198">
        <f t="shared" si="0"/>
        <v>0</v>
      </c>
      <c r="M18" s="198">
        <f t="shared" si="0"/>
        <v>0</v>
      </c>
      <c r="N18" s="198">
        <f t="shared" si="0"/>
        <v>0</v>
      </c>
      <c r="O18" s="198">
        <f t="shared" si="0"/>
        <v>0</v>
      </c>
      <c r="P18" s="198">
        <f t="shared" si="0"/>
        <v>0</v>
      </c>
      <c r="Q18" s="198">
        <f t="shared" si="0"/>
        <v>0</v>
      </c>
      <c r="R18" s="198">
        <f t="shared" si="0"/>
        <v>0</v>
      </c>
      <c r="S18" s="198">
        <f t="shared" si="0"/>
        <v>0</v>
      </c>
      <c r="T18" s="198">
        <f t="shared" si="0"/>
        <v>0</v>
      </c>
      <c r="U18" s="198">
        <f t="shared" si="0"/>
        <v>0</v>
      </c>
      <c r="V18" s="198">
        <f t="shared" si="0"/>
        <v>0</v>
      </c>
      <c r="W18" s="198">
        <f t="shared" si="0"/>
        <v>0</v>
      </c>
      <c r="X18" s="198">
        <f t="shared" si="0"/>
        <v>0</v>
      </c>
      <c r="Y18" s="198">
        <f t="shared" si="0"/>
        <v>0</v>
      </c>
      <c r="Z18" s="198">
        <f t="shared" si="0"/>
        <v>0</v>
      </c>
      <c r="AA18" s="198">
        <f t="shared" si="0"/>
        <v>0</v>
      </c>
      <c r="AB18" s="198">
        <f t="shared" si="0"/>
        <v>0</v>
      </c>
      <c r="AC18" s="198">
        <f t="shared" si="0"/>
        <v>0</v>
      </c>
      <c r="AD18" s="198">
        <f t="shared" si="0"/>
        <v>0</v>
      </c>
      <c r="AE18" s="198">
        <f t="shared" si="0"/>
        <v>0</v>
      </c>
      <c r="AF18" s="198">
        <f t="shared" si="0"/>
        <v>0</v>
      </c>
      <c r="AG18" s="198">
        <f t="shared" si="0"/>
        <v>0</v>
      </c>
      <c r="AH18" s="198">
        <f t="shared" si="0"/>
        <v>0</v>
      </c>
      <c r="AI18" s="198">
        <f t="shared" si="0"/>
        <v>0</v>
      </c>
      <c r="AJ18" s="198">
        <f t="shared" si="0"/>
        <v>0</v>
      </c>
    </row>
    <row r="19" spans="1:36" ht="18" customHeight="1" x14ac:dyDescent="0.25">
      <c r="A19" s="66" t="s">
        <v>126</v>
      </c>
      <c r="B19" s="75">
        <f>VLOOKUP($B$6,'User Inputs'!$B$10:$AB$14,'User Inputs'!$I$16)</f>
        <v>0</v>
      </c>
      <c r="C19" s="20"/>
      <c r="E19" s="52" t="s">
        <v>66</v>
      </c>
      <c r="O19" s="27"/>
      <c r="P19" s="25"/>
      <c r="Q19" s="25"/>
      <c r="R19" s="22"/>
      <c r="T19" s="2"/>
    </row>
    <row r="20" spans="1:36" ht="18" customHeight="1" x14ac:dyDescent="0.2">
      <c r="E20" s="64" t="s">
        <v>67</v>
      </c>
      <c r="G20" s="114">
        <f>SysCost</f>
        <v>2100000</v>
      </c>
      <c r="O20" s="27"/>
      <c r="P20" s="25"/>
      <c r="Q20" s="25"/>
      <c r="R20" s="22"/>
      <c r="T20" s="2"/>
    </row>
    <row r="21" spans="1:36" ht="18" customHeight="1" x14ac:dyDescent="0.25">
      <c r="A21" s="8" t="s">
        <v>14</v>
      </c>
      <c r="B21" s="12"/>
      <c r="E21" s="64" t="s">
        <v>96</v>
      </c>
      <c r="G21" s="114">
        <f>IF(taxable="Taxable (Corporation)",-Rebate,0)</f>
        <v>0</v>
      </c>
      <c r="O21" s="27"/>
      <c r="P21" s="25"/>
      <c r="Q21" s="25"/>
      <c r="R21" s="22"/>
      <c r="T21" s="2"/>
    </row>
    <row r="22" spans="1:36" ht="18" customHeight="1" x14ac:dyDescent="0.2">
      <c r="A22" s="18" t="s">
        <v>11</v>
      </c>
      <c r="B22" s="191">
        <f>'User Inputs'!$D$21</f>
        <v>0.13300000000000001</v>
      </c>
      <c r="E22" s="64" t="s">
        <v>72</v>
      </c>
      <c r="G22" s="189">
        <f>-H14*0.5</f>
        <v>0</v>
      </c>
      <c r="O22" s="27"/>
      <c r="P22" s="25"/>
      <c r="Q22" s="25"/>
      <c r="R22" s="22"/>
      <c r="T22" s="2"/>
    </row>
    <row r="23" spans="1:36" ht="18" customHeight="1" x14ac:dyDescent="0.2">
      <c r="A23" s="18" t="s">
        <v>20</v>
      </c>
      <c r="B23" s="192">
        <f>'User Inputs'!$D$22</f>
        <v>5.0000000000000001E-3</v>
      </c>
      <c r="E23" s="52" t="s">
        <v>66</v>
      </c>
      <c r="G23" s="189">
        <f>SUM(G20:G22)</f>
        <v>2100000</v>
      </c>
      <c r="I23" s="33"/>
      <c r="J23" s="33"/>
      <c r="K23" s="33"/>
      <c r="L23" s="33"/>
      <c r="M23" s="22"/>
      <c r="N23" s="22"/>
      <c r="O23" s="27"/>
      <c r="P23" s="25"/>
      <c r="Q23" s="25"/>
      <c r="R23" s="22"/>
      <c r="T23" s="2"/>
    </row>
    <row r="24" spans="1:36" ht="18" customHeight="1" x14ac:dyDescent="0.25">
      <c r="A24" s="18" t="s">
        <v>123</v>
      </c>
      <c r="B24" s="76">
        <f>'User Inputs'!$D$23</f>
        <v>25</v>
      </c>
      <c r="E24" s="34" t="s">
        <v>26</v>
      </c>
      <c r="G24" s="33"/>
      <c r="H24" s="33"/>
      <c r="I24" s="138" t="s">
        <v>132</v>
      </c>
      <c r="N24" s="22"/>
      <c r="O24" s="27"/>
      <c r="P24" s="5"/>
      <c r="Q24" s="5"/>
      <c r="R24" s="5"/>
      <c r="T24" s="2"/>
    </row>
    <row r="25" spans="1:36" ht="18" customHeight="1" x14ac:dyDescent="0.2">
      <c r="A25" s="18" t="s">
        <v>102</v>
      </c>
      <c r="B25" s="193">
        <v>20</v>
      </c>
      <c r="E25" s="208" t="s">
        <v>257</v>
      </c>
      <c r="F25" s="61"/>
      <c r="G25" s="78">
        <f>VLOOKUP($B$6,'User Inputs'!$B$10:$AB$14,'User Inputs'!$S$16)*(1-FedTaxCredit)</f>
        <v>0.4</v>
      </c>
      <c r="H25" s="35" t="s">
        <v>7</v>
      </c>
      <c r="I25" s="78">
        <f>VLOOKUP($B$6,'User Inputs'!$B$10:$AB$14,'User Inputs'!$Y$16)</f>
        <v>0</v>
      </c>
      <c r="N25" s="22"/>
      <c r="O25" s="27"/>
      <c r="P25" s="5"/>
      <c r="Q25" s="5"/>
      <c r="R25" s="5"/>
      <c r="T25" s="2"/>
    </row>
    <row r="26" spans="1:36" ht="18" customHeight="1" x14ac:dyDescent="0.2">
      <c r="A26" s="18" t="s">
        <v>109</v>
      </c>
      <c r="B26" s="74">
        <f>VLOOKUP($B$6,'User Inputs'!$B$10:$AB$14,'User Inputs'!$L$16)</f>
        <v>0.2</v>
      </c>
      <c r="E26" s="209" t="s">
        <v>256</v>
      </c>
      <c r="F26" s="61"/>
      <c r="G26" s="199">
        <f>1-FedTaxCredit-G25</f>
        <v>0.6</v>
      </c>
      <c r="I26" s="202">
        <f>1-$I$25</f>
        <v>1</v>
      </c>
      <c r="J26" s="13"/>
      <c r="K26" s="15"/>
      <c r="L26" s="13"/>
      <c r="M26" s="22"/>
      <c r="N26" s="22"/>
      <c r="O26" s="27"/>
      <c r="P26" s="5"/>
      <c r="Q26" s="5"/>
      <c r="R26" s="5"/>
      <c r="T26" s="2"/>
    </row>
    <row r="27" spans="1:36" ht="18" customHeight="1" x14ac:dyDescent="0.2">
      <c r="A27" s="18" t="s">
        <v>122</v>
      </c>
      <c r="B27" s="76">
        <f>VLOOKUP($B$6,'User Inputs'!$B$10:$AB$14,'User Inputs'!$M$16)</f>
        <v>20</v>
      </c>
      <c r="C27" s="9" t="s">
        <v>4</v>
      </c>
      <c r="E27" s="210" t="s">
        <v>64</v>
      </c>
      <c r="F27" s="5"/>
      <c r="G27" s="78">
        <f>VLOOKUP($B$6,'User Inputs'!$B$10:$AB$14,'User Inputs'!$T$16)</f>
        <v>0.06</v>
      </c>
      <c r="H27" s="35" t="s">
        <v>8</v>
      </c>
      <c r="I27" s="78">
        <f>VLOOKUP($B$6,'User Inputs'!$B$10:$AB$14,'User Inputs'!$Z$16)</f>
        <v>0</v>
      </c>
      <c r="J27" s="15"/>
      <c r="K27" s="13"/>
      <c r="L27" s="13"/>
      <c r="M27" s="22"/>
      <c r="N27" s="5"/>
      <c r="O27" s="27"/>
      <c r="P27" s="5"/>
      <c r="Q27" s="5"/>
      <c r="R27" s="5"/>
      <c r="T27" s="2"/>
    </row>
    <row r="28" spans="1:36" ht="18" customHeight="1" x14ac:dyDescent="0.2">
      <c r="A28" s="18" t="s">
        <v>113</v>
      </c>
      <c r="B28" s="74">
        <f>VLOOKUP($B$6,'User Inputs'!$B$10:$AB$14,'User Inputs'!$N$16)</f>
        <v>25</v>
      </c>
      <c r="C28" s="9" t="s">
        <v>110</v>
      </c>
      <c r="E28" s="210" t="s">
        <v>2</v>
      </c>
      <c r="F28" s="5"/>
      <c r="G28" s="79">
        <f>VLOOKUP($B$6,'User Inputs'!$B$10:$AB$14,'User Inputs'!$U$16)</f>
        <v>15</v>
      </c>
      <c r="I28" s="79">
        <f>VLOOKUP($B$6,'User Inputs'!$B$10:$AB$14,'User Inputs'!$AA$16)</f>
        <v>0</v>
      </c>
      <c r="J28" s="13" t="s">
        <v>21</v>
      </c>
      <c r="K28" s="13"/>
      <c r="L28" s="13"/>
      <c r="M28" s="22"/>
      <c r="N28" s="5"/>
      <c r="O28" s="27"/>
      <c r="P28" s="5"/>
      <c r="Q28" s="5"/>
      <c r="R28" s="5"/>
      <c r="T28" s="2"/>
    </row>
    <row r="29" spans="1:36" ht="18" customHeight="1" x14ac:dyDescent="0.2">
      <c r="A29" s="18" t="s">
        <v>16</v>
      </c>
      <c r="B29" s="74">
        <f>VLOOKUP($B$6,'User Inputs'!$B$10:$AB$14,'User Inputs'!$J$16)</f>
        <v>0.15</v>
      </c>
      <c r="C29" s="2" t="s">
        <v>5</v>
      </c>
      <c r="E29" s="210" t="s">
        <v>71</v>
      </c>
      <c r="F29" s="5"/>
      <c r="G29" s="189">
        <f>SysCost-B18</f>
        <v>2100000</v>
      </c>
      <c r="H29" s="13"/>
      <c r="I29" s="139"/>
      <c r="J29" s="15"/>
      <c r="K29" s="13"/>
      <c r="L29" s="13"/>
      <c r="M29" s="5"/>
      <c r="N29" s="5"/>
      <c r="O29" s="27"/>
      <c r="P29" s="5"/>
      <c r="Q29" s="5"/>
      <c r="R29" s="5"/>
      <c r="T29" s="2"/>
    </row>
    <row r="30" spans="1:36" ht="18" customHeight="1" x14ac:dyDescent="0.2">
      <c r="A30" s="18" t="s">
        <v>17</v>
      </c>
      <c r="B30" s="77">
        <f>VLOOKUP($B$6,'User Inputs'!$B$10:$AB$14,'User Inputs'!$K$16)</f>
        <v>0.02</v>
      </c>
      <c r="C30" s="13" t="s">
        <v>18</v>
      </c>
      <c r="E30" s="211" t="s">
        <v>8</v>
      </c>
      <c r="F30" s="5"/>
      <c r="G30" s="200">
        <f>NetCost*LoanPer-B19</f>
        <v>1260000</v>
      </c>
      <c r="H30" s="13"/>
      <c r="I30" s="161">
        <f>$B$15*$I$26</f>
        <v>0</v>
      </c>
      <c r="J30" s="14"/>
      <c r="K30" s="14"/>
      <c r="L30" s="13"/>
      <c r="M30" s="5"/>
      <c r="N30" s="5"/>
      <c r="O30" s="27"/>
      <c r="P30" s="5"/>
      <c r="Q30" s="5"/>
      <c r="R30" s="5"/>
      <c r="T30" s="2"/>
    </row>
    <row r="31" spans="1:36" ht="18" customHeight="1" x14ac:dyDescent="0.2">
      <c r="A31" s="18" t="s">
        <v>73</v>
      </c>
      <c r="B31" s="74">
        <f>'User Inputs'!D26</f>
        <v>10</v>
      </c>
      <c r="C31" s="13" t="s">
        <v>74</v>
      </c>
      <c r="E31" s="39" t="s">
        <v>143</v>
      </c>
      <c r="G31" s="162" t="str">
        <f>VLOOKUP($B$6,'User Inputs'!$B$10:$AB$14,'User Inputs'!$V$16)</f>
        <v>Yes</v>
      </c>
      <c r="I31" s="162">
        <f>VLOOKUP($B$6,'User Inputs'!$B$10:$AB$14,'User Inputs'!$AB$16)</f>
        <v>0</v>
      </c>
      <c r="J31" s="15"/>
      <c r="K31" s="13"/>
      <c r="L31" s="13"/>
      <c r="M31" s="5"/>
      <c r="N31" s="5"/>
      <c r="O31" s="27"/>
      <c r="P31" s="5"/>
      <c r="Q31" s="5"/>
      <c r="R31" s="5"/>
      <c r="T31" s="2"/>
    </row>
    <row r="32" spans="1:36" ht="18" customHeight="1" x14ac:dyDescent="0.2">
      <c r="A32" s="18" t="s">
        <v>19</v>
      </c>
      <c r="B32" s="189">
        <f>+OMFactor*SystemSize/1000</f>
        <v>10000</v>
      </c>
      <c r="C32" s="13" t="s">
        <v>29</v>
      </c>
      <c r="D32" s="5"/>
      <c r="G32" s="201">
        <f>IF(G31="Yes",1,0)</f>
        <v>1</v>
      </c>
      <c r="I32" s="201">
        <f>IF(I31="Yes",1,0)</f>
        <v>0</v>
      </c>
      <c r="J32" s="14"/>
      <c r="K32" s="14"/>
      <c r="L32" s="13"/>
      <c r="M32" s="5"/>
      <c r="N32" s="5"/>
      <c r="O32" s="27"/>
      <c r="P32" s="5"/>
      <c r="Q32" s="5"/>
      <c r="R32" s="5"/>
      <c r="T32" s="2"/>
    </row>
    <row r="33" spans="1:35" ht="18" customHeight="1" x14ac:dyDescent="0.2">
      <c r="A33" s="18" t="s">
        <v>22</v>
      </c>
      <c r="B33" s="77">
        <f>'User Inputs'!D27</f>
        <v>2.5000000000000001E-2</v>
      </c>
      <c r="C33" s="13" t="s">
        <v>18</v>
      </c>
      <c r="D33" s="5"/>
      <c r="I33" s="14"/>
      <c r="J33" s="14"/>
      <c r="K33" s="14"/>
      <c r="L33" s="13"/>
      <c r="M33" s="5"/>
      <c r="N33" s="5"/>
      <c r="O33" s="27"/>
      <c r="P33" s="5"/>
      <c r="Q33" s="5"/>
      <c r="R33" s="5"/>
      <c r="T33" s="2"/>
    </row>
    <row r="34" spans="1:35" ht="18" customHeight="1" x14ac:dyDescent="0.2">
      <c r="A34" s="18" t="s">
        <v>23</v>
      </c>
      <c r="B34" s="194">
        <f>'User Inputs'!D28</f>
        <v>7.0000000000000007E-2</v>
      </c>
      <c r="C34" s="13" t="s">
        <v>12</v>
      </c>
      <c r="D34" s="5"/>
      <c r="I34" s="14"/>
      <c r="J34" s="14"/>
      <c r="K34" s="14"/>
    </row>
    <row r="35" spans="1:35" ht="18" customHeight="1" x14ac:dyDescent="0.2">
      <c r="A35" s="18" t="s">
        <v>34</v>
      </c>
      <c r="B35" s="76">
        <f>'User Inputs'!D$29</f>
        <v>10</v>
      </c>
      <c r="C35" s="13" t="s">
        <v>24</v>
      </c>
      <c r="D35" s="5"/>
      <c r="I35" s="14"/>
      <c r="J35" s="14"/>
      <c r="K35" s="14"/>
      <c r="L35" s="15"/>
      <c r="M35" s="13"/>
      <c r="N35" s="13"/>
      <c r="O35" s="5"/>
      <c r="P35" s="5"/>
      <c r="Q35" s="27"/>
      <c r="R35" s="5"/>
      <c r="S35" s="5"/>
      <c r="T35" s="5"/>
    </row>
    <row r="36" spans="1:35" ht="18" customHeight="1" x14ac:dyDescent="0.2">
      <c r="A36" s="18" t="s">
        <v>81</v>
      </c>
      <c r="B36" s="77">
        <f>VLOOKUP($B$6,'User Inputs'!$B$10:$AB$14,'User Inputs'!$O$16)</f>
        <v>0.15</v>
      </c>
      <c r="D36" s="5"/>
      <c r="I36" s="14"/>
      <c r="J36" s="14"/>
      <c r="K36" s="14"/>
    </row>
    <row r="37" spans="1:35" ht="18" customHeight="1" x14ac:dyDescent="0.2">
      <c r="A37" s="18" t="s">
        <v>140</v>
      </c>
      <c r="B37" s="77">
        <f>VLOOKUP($B$6,'User Inputs'!$B$10:$AB$14,'User Inputs'!$P$16)</f>
        <v>1</v>
      </c>
      <c r="I37" s="14"/>
      <c r="J37" s="14"/>
      <c r="K37" s="14"/>
    </row>
    <row r="38" spans="1:35" ht="18" customHeight="1" x14ac:dyDescent="0.2">
      <c r="A38" s="2" t="s">
        <v>214</v>
      </c>
      <c r="B38" s="114">
        <f>(VLOOKUP($B$6,'User Inputs'!$B$10:$AB$14,'User Inputs'!$Q$16)+VLOOKUP($B$6,'User Inputs'!$B$10:$AB$14,'User Inputs'!$R$16))*(SystemSize/1000000)</f>
        <v>10000</v>
      </c>
      <c r="C38" s="13" t="s">
        <v>207</v>
      </c>
      <c r="I38" s="14"/>
      <c r="J38" s="14"/>
      <c r="K38" s="14"/>
      <c r="N38" s="13"/>
      <c r="O38" s="15"/>
      <c r="P38" s="13"/>
      <c r="Q38" s="13"/>
      <c r="R38" s="5"/>
      <c r="S38" s="5"/>
      <c r="T38" s="27"/>
      <c r="U38" s="5"/>
      <c r="V38" s="5"/>
      <c r="W38" s="5"/>
    </row>
    <row r="39" spans="1:35" ht="18" customHeight="1" x14ac:dyDescent="0.2">
      <c r="I39" s="14"/>
      <c r="J39" s="14"/>
      <c r="K39" s="14"/>
      <c r="L39" s="13"/>
      <c r="M39" s="13"/>
      <c r="N39" s="13"/>
      <c r="O39" s="15"/>
      <c r="P39" s="13"/>
      <c r="Q39" s="13"/>
      <c r="R39" s="5"/>
      <c r="S39" s="5"/>
      <c r="T39" s="27"/>
      <c r="U39" s="5"/>
      <c r="V39" s="5"/>
      <c r="W39" s="5"/>
    </row>
    <row r="40" spans="1:35" ht="18" customHeight="1" x14ac:dyDescent="0.2">
      <c r="I40" s="14"/>
      <c r="J40" s="14"/>
      <c r="K40" s="14"/>
      <c r="M40" s="13"/>
      <c r="R40" s="5"/>
      <c r="S40" s="5"/>
      <c r="T40" s="27"/>
      <c r="U40" s="5"/>
      <c r="V40" s="5"/>
      <c r="W40" s="5"/>
    </row>
    <row r="41" spans="1:35" ht="18" customHeight="1" x14ac:dyDescent="0.2">
      <c r="A41" s="3"/>
      <c r="B41" s="3"/>
      <c r="C41" s="16"/>
      <c r="D41" s="13"/>
      <c r="E41" s="13"/>
      <c r="F41" s="13"/>
      <c r="G41" s="15"/>
      <c r="R41" s="5"/>
      <c r="S41" s="5"/>
      <c r="T41" s="27"/>
      <c r="U41" s="5"/>
      <c r="V41" s="5"/>
      <c r="W41" s="5"/>
    </row>
    <row r="42" spans="1:35" s="5" customFormat="1" ht="26.25" x14ac:dyDescent="0.4">
      <c r="A42" s="96" t="s">
        <v>55</v>
      </c>
      <c r="B42" s="96"/>
      <c r="C42" s="96"/>
      <c r="D42" s="96"/>
      <c r="E42" s="96"/>
      <c r="F42" s="96"/>
      <c r="G42" s="96"/>
      <c r="H42" s="96"/>
      <c r="I42" s="96"/>
      <c r="J42" s="96"/>
      <c r="K42" s="96"/>
      <c r="L42" s="96"/>
      <c r="M42" s="96"/>
      <c r="N42" s="96"/>
      <c r="O42" s="96"/>
      <c r="P42" s="97"/>
      <c r="Q42" s="97"/>
      <c r="R42" s="97"/>
      <c r="S42" s="97"/>
      <c r="T42" s="97"/>
      <c r="U42" s="97"/>
      <c r="V42" s="97"/>
      <c r="W42" s="97"/>
      <c r="X42" s="97"/>
      <c r="Y42" s="97"/>
      <c r="Z42" s="98"/>
      <c r="AA42" s="98"/>
      <c r="AB42" s="98"/>
      <c r="AC42" s="98"/>
      <c r="AD42" s="98"/>
      <c r="AE42" s="98"/>
      <c r="AF42" s="98"/>
      <c r="AG42" s="98"/>
      <c r="AH42" s="98"/>
      <c r="AI42" s="98"/>
    </row>
    <row r="43" spans="1:35" ht="18" customHeight="1" x14ac:dyDescent="0.25">
      <c r="E43" s="31" t="s">
        <v>112</v>
      </c>
      <c r="F43" s="4" t="s">
        <v>3</v>
      </c>
      <c r="G43" s="4" t="s">
        <v>3</v>
      </c>
      <c r="H43" s="4" t="s">
        <v>3</v>
      </c>
      <c r="I43" s="4" t="s">
        <v>3</v>
      </c>
      <c r="J43" s="4" t="s">
        <v>3</v>
      </c>
      <c r="K43" s="4" t="s">
        <v>3</v>
      </c>
      <c r="L43" s="4" t="s">
        <v>3</v>
      </c>
      <c r="M43" s="4" t="s">
        <v>3</v>
      </c>
      <c r="N43" s="4" t="s">
        <v>3</v>
      </c>
      <c r="O43" s="4" t="s">
        <v>3</v>
      </c>
      <c r="P43" s="4" t="s">
        <v>3</v>
      </c>
      <c r="Q43" s="4" t="s">
        <v>3</v>
      </c>
      <c r="R43" s="4" t="s">
        <v>3</v>
      </c>
      <c r="S43" s="4" t="s">
        <v>3</v>
      </c>
      <c r="T43" s="4" t="s">
        <v>3</v>
      </c>
      <c r="U43" s="4" t="s">
        <v>3</v>
      </c>
      <c r="V43" s="28" t="s">
        <v>3</v>
      </c>
      <c r="W43" s="4" t="s">
        <v>3</v>
      </c>
      <c r="X43" s="4" t="s">
        <v>3</v>
      </c>
      <c r="Y43" s="4" t="s">
        <v>3</v>
      </c>
      <c r="Z43" s="4" t="s">
        <v>3</v>
      </c>
      <c r="AA43" s="4" t="s">
        <v>3</v>
      </c>
      <c r="AB43" s="4" t="s">
        <v>3</v>
      </c>
      <c r="AC43" s="4" t="s">
        <v>3</v>
      </c>
      <c r="AD43" s="4" t="s">
        <v>3</v>
      </c>
      <c r="AE43" s="4" t="s">
        <v>3</v>
      </c>
      <c r="AF43" s="4" t="s">
        <v>3</v>
      </c>
      <c r="AG43" s="4" t="s">
        <v>3</v>
      </c>
      <c r="AH43" s="4" t="s">
        <v>3</v>
      </c>
      <c r="AI43" s="4" t="s">
        <v>3</v>
      </c>
    </row>
    <row r="44" spans="1:35" ht="18" customHeight="1" x14ac:dyDescent="0.25">
      <c r="A44" s="6" t="s">
        <v>31</v>
      </c>
      <c r="B44" s="6"/>
      <c r="C44" s="11"/>
      <c r="E44" s="38">
        <v>0</v>
      </c>
      <c r="F44" s="7">
        <v>1</v>
      </c>
      <c r="G44" s="7">
        <v>2</v>
      </c>
      <c r="H44" s="7">
        <v>3</v>
      </c>
      <c r="I44" s="7">
        <v>4</v>
      </c>
      <c r="J44" s="7">
        <v>5</v>
      </c>
      <c r="K44" s="7">
        <v>6</v>
      </c>
      <c r="L44" s="7">
        <v>7</v>
      </c>
      <c r="M44" s="7">
        <v>8</v>
      </c>
      <c r="N44" s="7">
        <v>9</v>
      </c>
      <c r="O44" s="7">
        <v>10</v>
      </c>
      <c r="P44" s="7">
        <v>11</v>
      </c>
      <c r="Q44" s="7">
        <v>12</v>
      </c>
      <c r="R44" s="7">
        <v>13</v>
      </c>
      <c r="S44" s="7">
        <v>14</v>
      </c>
      <c r="T44" s="7">
        <v>15</v>
      </c>
      <c r="U44" s="7">
        <v>16</v>
      </c>
      <c r="V44" s="29">
        <v>17</v>
      </c>
      <c r="W44" s="7">
        <v>18</v>
      </c>
      <c r="X44" s="7">
        <v>19</v>
      </c>
      <c r="Y44" s="7">
        <v>20</v>
      </c>
      <c r="Z44" s="7">
        <v>21</v>
      </c>
      <c r="AA44" s="7">
        <v>22</v>
      </c>
      <c r="AB44" s="7">
        <v>23</v>
      </c>
      <c r="AC44" s="7">
        <v>24</v>
      </c>
      <c r="AD44" s="7">
        <v>25</v>
      </c>
      <c r="AE44" s="7">
        <v>26</v>
      </c>
      <c r="AF44" s="7">
        <v>27</v>
      </c>
      <c r="AG44" s="7">
        <v>28</v>
      </c>
      <c r="AH44" s="7">
        <v>29</v>
      </c>
      <c r="AI44" s="7">
        <v>30</v>
      </c>
    </row>
    <row r="45" spans="1:35" ht="18" customHeight="1" x14ac:dyDescent="0.2">
      <c r="A45" s="86" t="s">
        <v>13</v>
      </c>
      <c r="B45" s="87"/>
      <c r="C45" s="88"/>
      <c r="D45" s="88"/>
      <c r="E45" s="88"/>
      <c r="F45" s="89">
        <f>B11*8760*CapacityFactor/1000</f>
        <v>1165080</v>
      </c>
      <c r="G45" s="89">
        <f t="shared" ref="G45:AI45" si="1">IF(G44&lt;=projectlife,F45*(1-Degredation),0)</f>
        <v>1159254.6000000001</v>
      </c>
      <c r="H45" s="89">
        <f t="shared" si="1"/>
        <v>1153458.327</v>
      </c>
      <c r="I45" s="89">
        <f t="shared" si="1"/>
        <v>1147691.0353650001</v>
      </c>
      <c r="J45" s="89">
        <f t="shared" si="1"/>
        <v>1141952.5801881752</v>
      </c>
      <c r="K45" s="89">
        <f t="shared" si="1"/>
        <v>1136242.8172872344</v>
      </c>
      <c r="L45" s="89">
        <f t="shared" si="1"/>
        <v>1130561.6032007982</v>
      </c>
      <c r="M45" s="89">
        <f t="shared" si="1"/>
        <v>1124908.7951847941</v>
      </c>
      <c r="N45" s="89">
        <f t="shared" si="1"/>
        <v>1119284.2512088702</v>
      </c>
      <c r="O45" s="89">
        <f t="shared" si="1"/>
        <v>1113687.8299528258</v>
      </c>
      <c r="P45" s="89">
        <f t="shared" si="1"/>
        <v>1108119.3908030617</v>
      </c>
      <c r="Q45" s="89">
        <f t="shared" si="1"/>
        <v>1102578.7938490463</v>
      </c>
      <c r="R45" s="89">
        <f t="shared" si="1"/>
        <v>1097065.8998798011</v>
      </c>
      <c r="S45" s="89">
        <f t="shared" si="1"/>
        <v>1091580.570380402</v>
      </c>
      <c r="T45" s="89">
        <f t="shared" si="1"/>
        <v>1086122.6675285001</v>
      </c>
      <c r="U45" s="89">
        <f t="shared" si="1"/>
        <v>1080692.0541908576</v>
      </c>
      <c r="V45" s="89">
        <f t="shared" si="1"/>
        <v>1075288.5939199033</v>
      </c>
      <c r="W45" s="89">
        <f t="shared" si="1"/>
        <v>1069912.1509503038</v>
      </c>
      <c r="X45" s="89">
        <f t="shared" si="1"/>
        <v>1064562.5901955522</v>
      </c>
      <c r="Y45" s="89">
        <f t="shared" si="1"/>
        <v>1059239.7772445744</v>
      </c>
      <c r="Z45" s="89">
        <f t="shared" si="1"/>
        <v>1053943.5783583515</v>
      </c>
      <c r="AA45" s="89">
        <f t="shared" si="1"/>
        <v>1048673.8604665597</v>
      </c>
      <c r="AB45" s="89">
        <f t="shared" si="1"/>
        <v>1043430.4911642269</v>
      </c>
      <c r="AC45" s="89">
        <f t="shared" si="1"/>
        <v>1038213.3387084057</v>
      </c>
      <c r="AD45" s="89">
        <f t="shared" si="1"/>
        <v>1033022.2720148637</v>
      </c>
      <c r="AE45" s="89">
        <f t="shared" si="1"/>
        <v>0</v>
      </c>
      <c r="AF45" s="89">
        <f t="shared" si="1"/>
        <v>0</v>
      </c>
      <c r="AG45" s="89">
        <f t="shared" si="1"/>
        <v>0</v>
      </c>
      <c r="AH45" s="89">
        <f t="shared" si="1"/>
        <v>0</v>
      </c>
      <c r="AI45" s="90">
        <f t="shared" si="1"/>
        <v>0</v>
      </c>
    </row>
    <row r="46" spans="1:35" ht="18" customHeight="1" x14ac:dyDescent="0.2">
      <c r="A46" s="2" t="s">
        <v>137</v>
      </c>
      <c r="B46" s="160"/>
      <c r="C46" s="10"/>
      <c r="E46" s="159">
        <f t="shared" ref="E46:AI46" si="2">IF($B$16=0,1,IF(E$44&lt;=$B$16,1,0))</f>
        <v>1</v>
      </c>
      <c r="F46" s="159">
        <f t="shared" si="2"/>
        <v>1</v>
      </c>
      <c r="G46" s="159">
        <f t="shared" si="2"/>
        <v>1</v>
      </c>
      <c r="H46" s="159">
        <f t="shared" si="2"/>
        <v>1</v>
      </c>
      <c r="I46" s="159">
        <f t="shared" si="2"/>
        <v>1</v>
      </c>
      <c r="J46" s="159">
        <f t="shared" si="2"/>
        <v>1</v>
      </c>
      <c r="K46" s="159">
        <f t="shared" si="2"/>
        <v>1</v>
      </c>
      <c r="L46" s="159">
        <f t="shared" si="2"/>
        <v>1</v>
      </c>
      <c r="M46" s="159">
        <f t="shared" si="2"/>
        <v>1</v>
      </c>
      <c r="N46" s="159">
        <f t="shared" si="2"/>
        <v>1</v>
      </c>
      <c r="O46" s="159">
        <f t="shared" si="2"/>
        <v>1</v>
      </c>
      <c r="P46" s="159">
        <f t="shared" si="2"/>
        <v>1</v>
      </c>
      <c r="Q46" s="159">
        <f t="shared" si="2"/>
        <v>1</v>
      </c>
      <c r="R46" s="159">
        <f t="shared" si="2"/>
        <v>1</v>
      </c>
      <c r="S46" s="159">
        <f t="shared" si="2"/>
        <v>1</v>
      </c>
      <c r="T46" s="159">
        <f t="shared" si="2"/>
        <v>1</v>
      </c>
      <c r="U46" s="159">
        <f t="shared" si="2"/>
        <v>1</v>
      </c>
      <c r="V46" s="159">
        <f t="shared" si="2"/>
        <v>1</v>
      </c>
      <c r="W46" s="159">
        <f t="shared" si="2"/>
        <v>1</v>
      </c>
      <c r="X46" s="159">
        <f t="shared" si="2"/>
        <v>1</v>
      </c>
      <c r="Y46" s="159">
        <f t="shared" si="2"/>
        <v>1</v>
      </c>
      <c r="Z46" s="159">
        <f t="shared" si="2"/>
        <v>1</v>
      </c>
      <c r="AA46" s="159">
        <f t="shared" si="2"/>
        <v>1</v>
      </c>
      <c r="AB46" s="159">
        <f t="shared" si="2"/>
        <v>1</v>
      </c>
      <c r="AC46" s="159">
        <f t="shared" si="2"/>
        <v>1</v>
      </c>
      <c r="AD46" s="159">
        <f t="shared" si="2"/>
        <v>1</v>
      </c>
      <c r="AE46" s="159">
        <f t="shared" si="2"/>
        <v>1</v>
      </c>
      <c r="AF46" s="159">
        <f t="shared" si="2"/>
        <v>1</v>
      </c>
      <c r="AG46" s="159">
        <f t="shared" si="2"/>
        <v>1</v>
      </c>
      <c r="AH46" s="159">
        <f t="shared" si="2"/>
        <v>1</v>
      </c>
      <c r="AI46" s="159">
        <f t="shared" si="2"/>
        <v>1</v>
      </c>
    </row>
    <row r="47" spans="1:35" ht="18" customHeight="1" x14ac:dyDescent="0.2">
      <c r="A47" s="2" t="s">
        <v>136</v>
      </c>
      <c r="C47" s="10"/>
      <c r="E47" s="159">
        <f>IF(E46=1,0,1)</f>
        <v>0</v>
      </c>
      <c r="F47" s="159">
        <f t="shared" ref="F47:AI47" si="3">IF(F46=1,0,1)</f>
        <v>0</v>
      </c>
      <c r="G47" s="159">
        <f t="shared" si="3"/>
        <v>0</v>
      </c>
      <c r="H47" s="159">
        <f t="shared" si="3"/>
        <v>0</v>
      </c>
      <c r="I47" s="159">
        <f t="shared" si="3"/>
        <v>0</v>
      </c>
      <c r="J47" s="159">
        <f t="shared" si="3"/>
        <v>0</v>
      </c>
      <c r="K47" s="159">
        <f t="shared" si="3"/>
        <v>0</v>
      </c>
      <c r="L47" s="159">
        <f t="shared" si="3"/>
        <v>0</v>
      </c>
      <c r="M47" s="159">
        <f t="shared" si="3"/>
        <v>0</v>
      </c>
      <c r="N47" s="159">
        <f t="shared" si="3"/>
        <v>0</v>
      </c>
      <c r="O47" s="159">
        <f t="shared" si="3"/>
        <v>0</v>
      </c>
      <c r="P47" s="159">
        <f t="shared" si="3"/>
        <v>0</v>
      </c>
      <c r="Q47" s="159">
        <f t="shared" si="3"/>
        <v>0</v>
      </c>
      <c r="R47" s="159">
        <f t="shared" si="3"/>
        <v>0</v>
      </c>
      <c r="S47" s="159">
        <f t="shared" si="3"/>
        <v>0</v>
      </c>
      <c r="T47" s="159">
        <f t="shared" si="3"/>
        <v>0</v>
      </c>
      <c r="U47" s="159">
        <f t="shared" si="3"/>
        <v>0</v>
      </c>
      <c r="V47" s="159">
        <f t="shared" si="3"/>
        <v>0</v>
      </c>
      <c r="W47" s="159">
        <f t="shared" si="3"/>
        <v>0</v>
      </c>
      <c r="X47" s="159">
        <f t="shared" si="3"/>
        <v>0</v>
      </c>
      <c r="Y47" s="159">
        <f t="shared" si="3"/>
        <v>0</v>
      </c>
      <c r="Z47" s="159">
        <f t="shared" si="3"/>
        <v>0</v>
      </c>
      <c r="AA47" s="159">
        <f t="shared" si="3"/>
        <v>0</v>
      </c>
      <c r="AB47" s="159">
        <f t="shared" si="3"/>
        <v>0</v>
      </c>
      <c r="AC47" s="159">
        <f t="shared" si="3"/>
        <v>0</v>
      </c>
      <c r="AD47" s="159">
        <f t="shared" si="3"/>
        <v>0</v>
      </c>
      <c r="AE47" s="159">
        <f t="shared" si="3"/>
        <v>0</v>
      </c>
      <c r="AF47" s="159">
        <f t="shared" si="3"/>
        <v>0</v>
      </c>
      <c r="AG47" s="159">
        <f t="shared" si="3"/>
        <v>0</v>
      </c>
      <c r="AH47" s="159">
        <f t="shared" si="3"/>
        <v>0</v>
      </c>
      <c r="AI47" s="159">
        <f t="shared" si="3"/>
        <v>0</v>
      </c>
    </row>
    <row r="48" spans="1:35" ht="21.75" customHeight="1" x14ac:dyDescent="0.3">
      <c r="A48" s="43" t="s">
        <v>68</v>
      </c>
      <c r="B48" s="43"/>
      <c r="C48" s="44"/>
      <c r="D48" s="44"/>
      <c r="E48" s="44"/>
      <c r="F48" s="48"/>
      <c r="G48" s="49"/>
      <c r="H48" s="49"/>
      <c r="I48" s="49"/>
      <c r="J48" s="49"/>
      <c r="K48" s="49"/>
      <c r="L48" s="49"/>
      <c r="M48" s="49"/>
      <c r="N48" s="49"/>
      <c r="O48" s="49"/>
      <c r="P48" s="49"/>
      <c r="Q48" s="49"/>
      <c r="R48" s="49"/>
      <c r="S48" s="49"/>
      <c r="T48" s="49"/>
      <c r="U48" s="49"/>
      <c r="V48" s="50"/>
      <c r="W48" s="49"/>
      <c r="X48" s="49"/>
      <c r="Y48" s="49"/>
      <c r="Z48" s="49"/>
      <c r="AA48" s="49"/>
      <c r="AB48" s="49"/>
      <c r="AC48" s="49"/>
      <c r="AD48" s="49"/>
      <c r="AE48" s="49"/>
      <c r="AF48" s="49"/>
      <c r="AG48" s="49"/>
      <c r="AH48" s="49"/>
      <c r="AI48" s="49"/>
    </row>
    <row r="49" spans="1:35" ht="18" customHeight="1" x14ac:dyDescent="0.25">
      <c r="A49" s="41" t="s">
        <v>52</v>
      </c>
      <c r="B49" s="41"/>
      <c r="C49" s="10"/>
      <c r="E49" s="10"/>
      <c r="F49" s="54"/>
      <c r="G49" s="19"/>
      <c r="H49" s="19"/>
      <c r="I49" s="19"/>
      <c r="J49" s="19"/>
      <c r="K49" s="19"/>
      <c r="L49" s="19"/>
      <c r="M49" s="19"/>
      <c r="N49" s="19"/>
      <c r="O49" s="19"/>
      <c r="P49" s="19"/>
      <c r="Q49" s="19"/>
      <c r="R49" s="19"/>
      <c r="S49" s="19"/>
      <c r="T49" s="19"/>
      <c r="U49" s="19"/>
      <c r="V49" s="9"/>
      <c r="W49" s="19"/>
      <c r="X49" s="19"/>
      <c r="Y49" s="19"/>
      <c r="Z49" s="19"/>
      <c r="AA49" s="19"/>
      <c r="AB49" s="19"/>
      <c r="AC49" s="19"/>
      <c r="AD49" s="19"/>
      <c r="AE49" s="19"/>
      <c r="AF49" s="19"/>
      <c r="AG49" s="19"/>
      <c r="AH49" s="19"/>
      <c r="AI49" s="19"/>
    </row>
    <row r="50" spans="1:35" ht="18" customHeight="1" x14ac:dyDescent="0.2">
      <c r="A50" s="17" t="s">
        <v>111</v>
      </c>
      <c r="B50" s="17"/>
      <c r="C50" s="10"/>
      <c r="E50" s="10"/>
      <c r="F50" s="9">
        <f t="shared" ref="F50:AI50" si="4">Generation*F$46*elecRev*(1+ElecRevAdj)^E$44</f>
        <v>174762</v>
      </c>
      <c r="G50" s="9">
        <f t="shared" si="4"/>
        <v>177365.95380000002</v>
      </c>
      <c r="H50" s="9">
        <f t="shared" si="4"/>
        <v>180008.70651162002</v>
      </c>
      <c r="I50" s="9">
        <f t="shared" si="4"/>
        <v>182690.83623864315</v>
      </c>
      <c r="J50" s="9">
        <f t="shared" si="4"/>
        <v>185412.92969859895</v>
      </c>
      <c r="K50" s="9">
        <f t="shared" si="4"/>
        <v>188175.58235110808</v>
      </c>
      <c r="L50" s="9">
        <f t="shared" si="4"/>
        <v>190979.3985281396</v>
      </c>
      <c r="M50" s="9">
        <f t="shared" si="4"/>
        <v>193824.9915662088</v>
      </c>
      <c r="N50" s="9">
        <f t="shared" si="4"/>
        <v>196712.98394054535</v>
      </c>
      <c r="O50" s="9">
        <f t="shared" si="4"/>
        <v>199644.00740125947</v>
      </c>
      <c r="P50" s="9">
        <f t="shared" si="4"/>
        <v>202618.70311153823</v>
      </c>
      <c r="Q50" s="9">
        <f t="shared" si="4"/>
        <v>205637.72178790014</v>
      </c>
      <c r="R50" s="9">
        <f t="shared" si="4"/>
        <v>208701.72384253988</v>
      </c>
      <c r="S50" s="9">
        <f t="shared" si="4"/>
        <v>211811.37952779367</v>
      </c>
      <c r="T50" s="9">
        <f t="shared" si="4"/>
        <v>214967.36908275788</v>
      </c>
      <c r="U50" s="9">
        <f t="shared" si="4"/>
        <v>218170.38288209087</v>
      </c>
      <c r="V50" s="9">
        <f t="shared" si="4"/>
        <v>221421.12158703408</v>
      </c>
      <c r="W50" s="9">
        <f t="shared" si="4"/>
        <v>224720.29629868091</v>
      </c>
      <c r="X50" s="9">
        <f t="shared" si="4"/>
        <v>228068.62871353122</v>
      </c>
      <c r="Y50" s="9">
        <f t="shared" si="4"/>
        <v>231466.85128136279</v>
      </c>
      <c r="Z50" s="9">
        <f t="shared" si="4"/>
        <v>234915.70736545511</v>
      </c>
      <c r="AA50" s="9">
        <f t="shared" si="4"/>
        <v>238415.95140520038</v>
      </c>
      <c r="AB50" s="9">
        <f t="shared" si="4"/>
        <v>241968.34908113792</v>
      </c>
      <c r="AC50" s="9">
        <f t="shared" si="4"/>
        <v>245573.6774824468</v>
      </c>
      <c r="AD50" s="9">
        <f t="shared" si="4"/>
        <v>249232.72527693523</v>
      </c>
      <c r="AE50" s="9">
        <f t="shared" si="4"/>
        <v>0</v>
      </c>
      <c r="AF50" s="9">
        <f t="shared" si="4"/>
        <v>0</v>
      </c>
      <c r="AG50" s="9">
        <f t="shared" si="4"/>
        <v>0</v>
      </c>
      <c r="AH50" s="9">
        <f t="shared" si="4"/>
        <v>0</v>
      </c>
      <c r="AI50" s="9">
        <f t="shared" si="4"/>
        <v>0</v>
      </c>
    </row>
    <row r="51" spans="1:35" ht="18" customHeight="1" x14ac:dyDescent="0.2">
      <c r="A51" s="17" t="s">
        <v>124</v>
      </c>
      <c r="B51" s="17"/>
      <c r="C51" s="10"/>
      <c r="E51" s="10"/>
      <c r="F51" s="9">
        <f t="shared" ref="F51:AI51" si="5">IF($B$27&gt;=F$44,Generation*F$46*$B$26,F$50)</f>
        <v>233016</v>
      </c>
      <c r="G51" s="9">
        <f t="shared" si="5"/>
        <v>231850.92000000004</v>
      </c>
      <c r="H51" s="9">
        <f t="shared" si="5"/>
        <v>230691.66540000003</v>
      </c>
      <c r="I51" s="9">
        <f t="shared" si="5"/>
        <v>229538.20707300003</v>
      </c>
      <c r="J51" s="9">
        <f t="shared" si="5"/>
        <v>228390.51603763504</v>
      </c>
      <c r="K51" s="9">
        <f t="shared" si="5"/>
        <v>227248.56345744687</v>
      </c>
      <c r="L51" s="9">
        <f t="shared" si="5"/>
        <v>226112.32064015965</v>
      </c>
      <c r="M51" s="9">
        <f t="shared" si="5"/>
        <v>224981.75903695883</v>
      </c>
      <c r="N51" s="9">
        <f t="shared" si="5"/>
        <v>223856.85024177405</v>
      </c>
      <c r="O51" s="9">
        <f t="shared" si="5"/>
        <v>222737.56599056517</v>
      </c>
      <c r="P51" s="9">
        <f t="shared" si="5"/>
        <v>221623.87816061234</v>
      </c>
      <c r="Q51" s="9">
        <f t="shared" si="5"/>
        <v>220515.75876980927</v>
      </c>
      <c r="R51" s="9">
        <f t="shared" si="5"/>
        <v>219413.17997596023</v>
      </c>
      <c r="S51" s="9">
        <f t="shared" si="5"/>
        <v>218316.11407608041</v>
      </c>
      <c r="T51" s="9">
        <f t="shared" si="5"/>
        <v>217224.53350570003</v>
      </c>
      <c r="U51" s="9">
        <f t="shared" si="5"/>
        <v>216138.41083817152</v>
      </c>
      <c r="V51" s="9">
        <f t="shared" si="5"/>
        <v>215057.71878398067</v>
      </c>
      <c r="W51" s="9">
        <f t="shared" si="5"/>
        <v>213982.43019006075</v>
      </c>
      <c r="X51" s="9">
        <f t="shared" si="5"/>
        <v>212912.51803911047</v>
      </c>
      <c r="Y51" s="9">
        <f t="shared" si="5"/>
        <v>211847.9554489149</v>
      </c>
      <c r="Z51" s="9">
        <f t="shared" si="5"/>
        <v>234915.70736545511</v>
      </c>
      <c r="AA51" s="9">
        <f t="shared" si="5"/>
        <v>238415.95140520038</v>
      </c>
      <c r="AB51" s="9">
        <f t="shared" si="5"/>
        <v>241968.34908113792</v>
      </c>
      <c r="AC51" s="9">
        <f t="shared" si="5"/>
        <v>245573.6774824468</v>
      </c>
      <c r="AD51" s="9">
        <f t="shared" si="5"/>
        <v>249232.72527693523</v>
      </c>
      <c r="AE51" s="9">
        <f t="shared" si="5"/>
        <v>0</v>
      </c>
      <c r="AF51" s="9">
        <f t="shared" si="5"/>
        <v>0</v>
      </c>
      <c r="AG51" s="9">
        <f t="shared" si="5"/>
        <v>0</v>
      </c>
      <c r="AH51" s="9">
        <f t="shared" si="5"/>
        <v>0</v>
      </c>
      <c r="AI51" s="9">
        <f t="shared" si="5"/>
        <v>0</v>
      </c>
    </row>
    <row r="52" spans="1:35" ht="18" customHeight="1" x14ac:dyDescent="0.2">
      <c r="A52" s="18" t="s">
        <v>15</v>
      </c>
      <c r="B52" s="18"/>
      <c r="C52" s="68"/>
      <c r="E52" s="10"/>
      <c r="F52" s="10">
        <f t="shared" ref="F52:AI52" si="6">IF(F$44&gt;$B$27,$B$28*F$46*F$45/1000,0)</f>
        <v>0</v>
      </c>
      <c r="G52" s="10">
        <f t="shared" si="6"/>
        <v>0</v>
      </c>
      <c r="H52" s="10">
        <f t="shared" si="6"/>
        <v>0</v>
      </c>
      <c r="I52" s="10">
        <f t="shared" si="6"/>
        <v>0</v>
      </c>
      <c r="J52" s="10">
        <f t="shared" si="6"/>
        <v>0</v>
      </c>
      <c r="K52" s="10">
        <f t="shared" si="6"/>
        <v>0</v>
      </c>
      <c r="L52" s="10">
        <f t="shared" si="6"/>
        <v>0</v>
      </c>
      <c r="M52" s="10">
        <f t="shared" si="6"/>
        <v>0</v>
      </c>
      <c r="N52" s="10">
        <f t="shared" si="6"/>
        <v>0</v>
      </c>
      <c r="O52" s="10">
        <f t="shared" si="6"/>
        <v>0</v>
      </c>
      <c r="P52" s="10">
        <f t="shared" si="6"/>
        <v>0</v>
      </c>
      <c r="Q52" s="10">
        <f t="shared" si="6"/>
        <v>0</v>
      </c>
      <c r="R52" s="10">
        <f t="shared" si="6"/>
        <v>0</v>
      </c>
      <c r="S52" s="10">
        <f t="shared" si="6"/>
        <v>0</v>
      </c>
      <c r="T52" s="10">
        <f t="shared" si="6"/>
        <v>0</v>
      </c>
      <c r="U52" s="10">
        <f t="shared" si="6"/>
        <v>0</v>
      </c>
      <c r="V52" s="10">
        <f t="shared" si="6"/>
        <v>0</v>
      </c>
      <c r="W52" s="10">
        <f t="shared" si="6"/>
        <v>0</v>
      </c>
      <c r="X52" s="10">
        <f t="shared" si="6"/>
        <v>0</v>
      </c>
      <c r="Y52" s="10">
        <f t="shared" si="6"/>
        <v>0</v>
      </c>
      <c r="Z52" s="10">
        <f t="shared" si="6"/>
        <v>26348.589458958784</v>
      </c>
      <c r="AA52" s="10">
        <f t="shared" si="6"/>
        <v>26216.846511663993</v>
      </c>
      <c r="AB52" s="10">
        <f t="shared" si="6"/>
        <v>26085.762279105671</v>
      </c>
      <c r="AC52" s="10">
        <f t="shared" si="6"/>
        <v>25955.333467710145</v>
      </c>
      <c r="AD52" s="10">
        <f t="shared" si="6"/>
        <v>25825.556800371593</v>
      </c>
      <c r="AE52" s="10">
        <f t="shared" si="6"/>
        <v>0</v>
      </c>
      <c r="AF52" s="10">
        <f t="shared" si="6"/>
        <v>0</v>
      </c>
      <c r="AG52" s="10">
        <f t="shared" si="6"/>
        <v>0</v>
      </c>
      <c r="AH52" s="10">
        <f t="shared" si="6"/>
        <v>0</v>
      </c>
      <c r="AI52" s="10">
        <f t="shared" si="6"/>
        <v>0</v>
      </c>
    </row>
    <row r="53" spans="1:35" ht="18" customHeight="1" x14ac:dyDescent="0.2">
      <c r="A53" s="17" t="s">
        <v>97</v>
      </c>
      <c r="B53" s="17"/>
      <c r="C53" s="10"/>
      <c r="E53" s="10"/>
      <c r="F53" s="9">
        <f t="shared" ref="F53:AI53" si="7">-($B$36*F50)*F$46</f>
        <v>-26214.3</v>
      </c>
      <c r="G53" s="9">
        <f t="shared" si="7"/>
        <v>-26604.893070000002</v>
      </c>
      <c r="H53" s="9">
        <f t="shared" si="7"/>
        <v>-27001.305976743002</v>
      </c>
      <c r="I53" s="9">
        <f t="shared" si="7"/>
        <v>-27403.625435796472</v>
      </c>
      <c r="J53" s="9">
        <f t="shared" si="7"/>
        <v>-27811.939454789841</v>
      </c>
      <c r="K53" s="9">
        <f t="shared" si="7"/>
        <v>-28226.337352666211</v>
      </c>
      <c r="L53" s="9">
        <f t="shared" si="7"/>
        <v>-28646.90977922094</v>
      </c>
      <c r="M53" s="9">
        <f t="shared" si="7"/>
        <v>-29073.74873493132</v>
      </c>
      <c r="N53" s="9">
        <f t="shared" si="7"/>
        <v>-29506.9475910818</v>
      </c>
      <c r="O53" s="9">
        <f t="shared" si="7"/>
        <v>-29946.60111018892</v>
      </c>
      <c r="P53" s="9">
        <f t="shared" si="7"/>
        <v>-30392.805466730733</v>
      </c>
      <c r="Q53" s="9">
        <f t="shared" si="7"/>
        <v>-30845.65826818502</v>
      </c>
      <c r="R53" s="9">
        <f t="shared" si="7"/>
        <v>-31305.25857638098</v>
      </c>
      <c r="S53" s="9">
        <f t="shared" si="7"/>
        <v>-31771.70692916905</v>
      </c>
      <c r="T53" s="9">
        <f t="shared" si="7"/>
        <v>-32245.10536241368</v>
      </c>
      <c r="U53" s="9">
        <f t="shared" si="7"/>
        <v>-32725.557432313628</v>
      </c>
      <c r="V53" s="9">
        <f t="shared" si="7"/>
        <v>-33213.168238055114</v>
      </c>
      <c r="W53" s="9">
        <f t="shared" si="7"/>
        <v>-33708.044444802137</v>
      </c>
      <c r="X53" s="9">
        <f t="shared" si="7"/>
        <v>-34210.294307029682</v>
      </c>
      <c r="Y53" s="9">
        <f t="shared" si="7"/>
        <v>-34720.027692204414</v>
      </c>
      <c r="Z53" s="9">
        <f t="shared" si="7"/>
        <v>-35237.356104818267</v>
      </c>
      <c r="AA53" s="9">
        <f t="shared" si="7"/>
        <v>-35762.392710780055</v>
      </c>
      <c r="AB53" s="9">
        <f t="shared" si="7"/>
        <v>-36295.252362170686</v>
      </c>
      <c r="AC53" s="9">
        <f t="shared" si="7"/>
        <v>-36836.05162236702</v>
      </c>
      <c r="AD53" s="9">
        <f t="shared" si="7"/>
        <v>-37384.908791540285</v>
      </c>
      <c r="AE53" s="9">
        <f t="shared" si="7"/>
        <v>0</v>
      </c>
      <c r="AF53" s="9">
        <f t="shared" si="7"/>
        <v>0</v>
      </c>
      <c r="AG53" s="9">
        <f t="shared" si="7"/>
        <v>0</v>
      </c>
      <c r="AH53" s="9">
        <f t="shared" si="7"/>
        <v>0</v>
      </c>
      <c r="AI53" s="9">
        <f t="shared" si="7"/>
        <v>0</v>
      </c>
    </row>
    <row r="54" spans="1:35" ht="18" customHeight="1" x14ac:dyDescent="0.2">
      <c r="A54" s="2" t="s">
        <v>108</v>
      </c>
      <c r="B54" s="17"/>
      <c r="C54" s="10"/>
      <c r="E54" s="9"/>
      <c r="F54" s="9">
        <f t="shared" ref="F54:AI54" si="8">IF(F$44&lt;=projectlife,-$B$38*F$46,0)</f>
        <v>-10000</v>
      </c>
      <c r="G54" s="9">
        <f t="shared" si="8"/>
        <v>-10000</v>
      </c>
      <c r="H54" s="9">
        <f t="shared" si="8"/>
        <v>-10000</v>
      </c>
      <c r="I54" s="9">
        <f t="shared" si="8"/>
        <v>-10000</v>
      </c>
      <c r="J54" s="9">
        <f t="shared" si="8"/>
        <v>-10000</v>
      </c>
      <c r="K54" s="9">
        <f t="shared" si="8"/>
        <v>-10000</v>
      </c>
      <c r="L54" s="9">
        <f t="shared" si="8"/>
        <v>-10000</v>
      </c>
      <c r="M54" s="9">
        <f t="shared" si="8"/>
        <v>-10000</v>
      </c>
      <c r="N54" s="9">
        <f t="shared" si="8"/>
        <v>-10000</v>
      </c>
      <c r="O54" s="9">
        <f t="shared" si="8"/>
        <v>-10000</v>
      </c>
      <c r="P54" s="9">
        <f t="shared" si="8"/>
        <v>-10000</v>
      </c>
      <c r="Q54" s="9">
        <f t="shared" si="8"/>
        <v>-10000</v>
      </c>
      <c r="R54" s="9">
        <f t="shared" si="8"/>
        <v>-10000</v>
      </c>
      <c r="S54" s="9">
        <f t="shared" si="8"/>
        <v>-10000</v>
      </c>
      <c r="T54" s="9">
        <f t="shared" si="8"/>
        <v>-10000</v>
      </c>
      <c r="U54" s="9">
        <f t="shared" si="8"/>
        <v>-10000</v>
      </c>
      <c r="V54" s="9">
        <f t="shared" si="8"/>
        <v>-10000</v>
      </c>
      <c r="W54" s="9">
        <f t="shared" si="8"/>
        <v>-10000</v>
      </c>
      <c r="X54" s="9">
        <f t="shared" si="8"/>
        <v>-10000</v>
      </c>
      <c r="Y54" s="9">
        <f t="shared" si="8"/>
        <v>-10000</v>
      </c>
      <c r="Z54" s="9">
        <f t="shared" si="8"/>
        <v>-10000</v>
      </c>
      <c r="AA54" s="9">
        <f t="shared" si="8"/>
        <v>-10000</v>
      </c>
      <c r="AB54" s="9">
        <f t="shared" si="8"/>
        <v>-10000</v>
      </c>
      <c r="AC54" s="9">
        <f t="shared" si="8"/>
        <v>-10000</v>
      </c>
      <c r="AD54" s="9">
        <f t="shared" si="8"/>
        <v>-10000</v>
      </c>
      <c r="AE54" s="9">
        <f t="shared" si="8"/>
        <v>0</v>
      </c>
      <c r="AF54" s="9">
        <f t="shared" si="8"/>
        <v>0</v>
      </c>
      <c r="AG54" s="9">
        <f t="shared" si="8"/>
        <v>0</v>
      </c>
      <c r="AH54" s="9">
        <f t="shared" si="8"/>
        <v>0</v>
      </c>
      <c r="AI54" s="9">
        <f t="shared" si="8"/>
        <v>0</v>
      </c>
    </row>
    <row r="55" spans="1:35" ht="18" customHeight="1" x14ac:dyDescent="0.2">
      <c r="A55" s="37" t="s">
        <v>98</v>
      </c>
      <c r="B55" s="37"/>
      <c r="C55" s="10"/>
      <c r="E55" s="10">
        <f t="shared" ref="E55:AI55" si="9">SUM(E51:E54)</f>
        <v>0</v>
      </c>
      <c r="F55" s="10">
        <f t="shared" si="9"/>
        <v>196801.7</v>
      </c>
      <c r="G55" s="10">
        <f t="shared" si="9"/>
        <v>195246.02693000005</v>
      </c>
      <c r="H55" s="10">
        <f t="shared" si="9"/>
        <v>193690.35942325703</v>
      </c>
      <c r="I55" s="10">
        <f t="shared" si="9"/>
        <v>192134.58163720355</v>
      </c>
      <c r="J55" s="10">
        <f t="shared" si="9"/>
        <v>190578.57658284518</v>
      </c>
      <c r="K55" s="10">
        <f t="shared" si="9"/>
        <v>189022.22610478065</v>
      </c>
      <c r="L55" s="10">
        <f t="shared" si="9"/>
        <v>187465.41086093872</v>
      </c>
      <c r="M55" s="10">
        <f t="shared" si="9"/>
        <v>185908.01030202751</v>
      </c>
      <c r="N55" s="10">
        <f t="shared" si="9"/>
        <v>184349.90265069227</v>
      </c>
      <c r="O55" s="10">
        <f t="shared" si="9"/>
        <v>182790.96488037624</v>
      </c>
      <c r="P55" s="10">
        <f t="shared" si="9"/>
        <v>181231.07269388161</v>
      </c>
      <c r="Q55" s="10">
        <f t="shared" si="9"/>
        <v>179670.10050162426</v>
      </c>
      <c r="R55" s="10">
        <f t="shared" si="9"/>
        <v>178107.92139957924</v>
      </c>
      <c r="S55" s="10">
        <f t="shared" si="9"/>
        <v>176544.40714691137</v>
      </c>
      <c r="T55" s="10">
        <f t="shared" si="9"/>
        <v>174979.42814328635</v>
      </c>
      <c r="U55" s="10">
        <f t="shared" si="9"/>
        <v>173412.8534058579</v>
      </c>
      <c r="V55" s="10">
        <f t="shared" si="9"/>
        <v>171844.55054592557</v>
      </c>
      <c r="W55" s="10">
        <f t="shared" si="9"/>
        <v>170274.38574525862</v>
      </c>
      <c r="X55" s="10">
        <f t="shared" si="9"/>
        <v>168702.22373208078</v>
      </c>
      <c r="Y55" s="10">
        <f t="shared" si="9"/>
        <v>167127.9277567105</v>
      </c>
      <c r="Z55" s="10">
        <f t="shared" si="9"/>
        <v>216026.94071959562</v>
      </c>
      <c r="AA55" s="10">
        <f t="shared" si="9"/>
        <v>218870.40520608434</v>
      </c>
      <c r="AB55" s="10">
        <f t="shared" si="9"/>
        <v>221758.85899807289</v>
      </c>
      <c r="AC55" s="10">
        <f t="shared" si="9"/>
        <v>224692.95932778993</v>
      </c>
      <c r="AD55" s="10">
        <f t="shared" si="9"/>
        <v>227673.37328576655</v>
      </c>
      <c r="AE55" s="10">
        <f t="shared" si="9"/>
        <v>0</v>
      </c>
      <c r="AF55" s="10">
        <f t="shared" si="9"/>
        <v>0</v>
      </c>
      <c r="AG55" s="10">
        <f t="shared" si="9"/>
        <v>0</v>
      </c>
      <c r="AH55" s="10">
        <f t="shared" si="9"/>
        <v>0</v>
      </c>
      <c r="AI55" s="10">
        <f t="shared" si="9"/>
        <v>0</v>
      </c>
    </row>
    <row r="56" spans="1:35" ht="18" customHeight="1" x14ac:dyDescent="0.2">
      <c r="A56" s="17" t="s">
        <v>32</v>
      </c>
      <c r="B56" s="17"/>
      <c r="C56" s="10"/>
      <c r="E56" s="10"/>
      <c r="F56" s="10">
        <f t="shared" ref="F56:AI56" si="10">IF(ProjectYear&lt;=projectlife,-OpCost_Yr*F$46*(1+OpCostAdj_Yr)^(ProjectYear-1),0)</f>
        <v>-10000</v>
      </c>
      <c r="G56" s="10">
        <f t="shared" si="10"/>
        <v>-10250</v>
      </c>
      <c r="H56" s="10">
        <f t="shared" si="10"/>
        <v>-10506.25</v>
      </c>
      <c r="I56" s="10">
        <f t="shared" si="10"/>
        <v>-10768.906249999998</v>
      </c>
      <c r="J56" s="10">
        <f t="shared" si="10"/>
        <v>-11038.128906249998</v>
      </c>
      <c r="K56" s="10">
        <f t="shared" si="10"/>
        <v>-11314.082128906246</v>
      </c>
      <c r="L56" s="10">
        <f t="shared" si="10"/>
        <v>-11596.934182128902</v>
      </c>
      <c r="M56" s="10">
        <f t="shared" si="10"/>
        <v>-11886.857536682124</v>
      </c>
      <c r="N56" s="10">
        <f t="shared" si="10"/>
        <v>-12184.028975099178</v>
      </c>
      <c r="O56" s="10">
        <f t="shared" si="10"/>
        <v>-12488.629699476654</v>
      </c>
      <c r="P56" s="10">
        <f t="shared" si="10"/>
        <v>-12800.845441963571</v>
      </c>
      <c r="Q56" s="10">
        <f t="shared" si="10"/>
        <v>-13120.866578012659</v>
      </c>
      <c r="R56" s="10">
        <f t="shared" si="10"/>
        <v>-13448.888242462976</v>
      </c>
      <c r="S56" s="10">
        <f t="shared" si="10"/>
        <v>-13785.110448524549</v>
      </c>
      <c r="T56" s="10">
        <f t="shared" si="10"/>
        <v>-14129.738209737661</v>
      </c>
      <c r="U56" s="10">
        <f t="shared" si="10"/>
        <v>-14482.981664981105</v>
      </c>
      <c r="V56" s="10">
        <f t="shared" si="10"/>
        <v>-14845.056206605632</v>
      </c>
      <c r="W56" s="10">
        <f t="shared" si="10"/>
        <v>-15216.18261177077</v>
      </c>
      <c r="X56" s="10">
        <f t="shared" si="10"/>
        <v>-15596.587177065039</v>
      </c>
      <c r="Y56" s="10">
        <f t="shared" si="10"/>
        <v>-15986.501856491666</v>
      </c>
      <c r="Z56" s="10">
        <f t="shared" si="10"/>
        <v>-16386.164402903956</v>
      </c>
      <c r="AA56" s="10">
        <f t="shared" si="10"/>
        <v>-16795.818512976552</v>
      </c>
      <c r="AB56" s="10">
        <f t="shared" si="10"/>
        <v>-17215.713975800965</v>
      </c>
      <c r="AC56" s="10">
        <f t="shared" si="10"/>
        <v>-17646.106825195991</v>
      </c>
      <c r="AD56" s="10">
        <f t="shared" si="10"/>
        <v>-18087.259495825889</v>
      </c>
      <c r="AE56" s="10">
        <f t="shared" si="10"/>
        <v>0</v>
      </c>
      <c r="AF56" s="10">
        <f t="shared" si="10"/>
        <v>0</v>
      </c>
      <c r="AG56" s="10">
        <f t="shared" si="10"/>
        <v>0</v>
      </c>
      <c r="AH56" s="10">
        <f t="shared" si="10"/>
        <v>0</v>
      </c>
      <c r="AI56" s="10">
        <f t="shared" si="10"/>
        <v>0</v>
      </c>
    </row>
    <row r="57" spans="1:35" ht="18" customHeight="1" x14ac:dyDescent="0.2">
      <c r="A57" s="18" t="s">
        <v>30</v>
      </c>
      <c r="B57" s="18"/>
      <c r="C57" s="10"/>
      <c r="E57" s="10"/>
      <c r="F57" s="10">
        <f t="shared" ref="F57:AI57" si="11">IF(ProjectYear&lt;=projectlife,IF(F$44/ReplaceInverterYear=ROUND(F$44/ReplaceInverterYear,0),-InverterReplaceCost*SystemSize*F$46,0),0)</f>
        <v>0</v>
      </c>
      <c r="G57" s="10">
        <f t="shared" si="11"/>
        <v>0</v>
      </c>
      <c r="H57" s="10">
        <f t="shared" si="11"/>
        <v>0</v>
      </c>
      <c r="I57" s="10">
        <f t="shared" si="11"/>
        <v>0</v>
      </c>
      <c r="J57" s="10">
        <f t="shared" si="11"/>
        <v>0</v>
      </c>
      <c r="K57" s="10">
        <f t="shared" si="11"/>
        <v>0</v>
      </c>
      <c r="L57" s="10">
        <f t="shared" si="11"/>
        <v>0</v>
      </c>
      <c r="M57" s="10">
        <f t="shared" si="11"/>
        <v>0</v>
      </c>
      <c r="N57" s="10">
        <f t="shared" si="11"/>
        <v>0</v>
      </c>
      <c r="O57" s="10">
        <f t="shared" si="11"/>
        <v>-70000</v>
      </c>
      <c r="P57" s="10">
        <f t="shared" si="11"/>
        <v>0</v>
      </c>
      <c r="Q57" s="10">
        <f t="shared" si="11"/>
        <v>0</v>
      </c>
      <c r="R57" s="10">
        <f t="shared" si="11"/>
        <v>0</v>
      </c>
      <c r="S57" s="10">
        <f t="shared" si="11"/>
        <v>0</v>
      </c>
      <c r="T57" s="10">
        <f t="shared" si="11"/>
        <v>0</v>
      </c>
      <c r="U57" s="10">
        <f t="shared" si="11"/>
        <v>0</v>
      </c>
      <c r="V57" s="10">
        <f t="shared" si="11"/>
        <v>0</v>
      </c>
      <c r="W57" s="10">
        <f t="shared" si="11"/>
        <v>0</v>
      </c>
      <c r="X57" s="10">
        <f t="shared" si="11"/>
        <v>0</v>
      </c>
      <c r="Y57" s="10">
        <f t="shared" si="11"/>
        <v>-70000</v>
      </c>
      <c r="Z57" s="10">
        <f t="shared" si="11"/>
        <v>0</v>
      </c>
      <c r="AA57" s="10">
        <f t="shared" si="11"/>
        <v>0</v>
      </c>
      <c r="AB57" s="10">
        <f t="shared" si="11"/>
        <v>0</v>
      </c>
      <c r="AC57" s="10">
        <f t="shared" si="11"/>
        <v>0</v>
      </c>
      <c r="AD57" s="10">
        <f t="shared" si="11"/>
        <v>0</v>
      </c>
      <c r="AE57" s="10">
        <f t="shared" si="11"/>
        <v>0</v>
      </c>
      <c r="AF57" s="10">
        <f t="shared" si="11"/>
        <v>0</v>
      </c>
      <c r="AG57" s="10">
        <f t="shared" si="11"/>
        <v>0</v>
      </c>
      <c r="AH57" s="10">
        <f t="shared" si="11"/>
        <v>0</v>
      </c>
      <c r="AI57" s="10">
        <f t="shared" si="11"/>
        <v>0</v>
      </c>
    </row>
    <row r="58" spans="1:35" ht="18" customHeight="1" x14ac:dyDescent="0.2">
      <c r="A58" s="37" t="s">
        <v>33</v>
      </c>
      <c r="B58" s="37"/>
      <c r="C58" s="10"/>
      <c r="E58" s="10">
        <f>E56+E57</f>
        <v>0</v>
      </c>
      <c r="F58" s="10">
        <f>F56+F57</f>
        <v>-10000</v>
      </c>
      <c r="G58" s="10">
        <f t="shared" ref="G58:AI58" si="12">G56+G57</f>
        <v>-10250</v>
      </c>
      <c r="H58" s="10">
        <f t="shared" si="12"/>
        <v>-10506.25</v>
      </c>
      <c r="I58" s="10">
        <f t="shared" si="12"/>
        <v>-10768.906249999998</v>
      </c>
      <c r="J58" s="10">
        <f t="shared" si="12"/>
        <v>-11038.128906249998</v>
      </c>
      <c r="K58" s="10">
        <f t="shared" si="12"/>
        <v>-11314.082128906246</v>
      </c>
      <c r="L58" s="10">
        <f t="shared" si="12"/>
        <v>-11596.934182128902</v>
      </c>
      <c r="M58" s="10">
        <f t="shared" si="12"/>
        <v>-11886.857536682124</v>
      </c>
      <c r="N58" s="10">
        <f t="shared" si="12"/>
        <v>-12184.028975099178</v>
      </c>
      <c r="O58" s="10">
        <f t="shared" si="12"/>
        <v>-82488.62969947666</v>
      </c>
      <c r="P58" s="10">
        <f t="shared" si="12"/>
        <v>-12800.845441963571</v>
      </c>
      <c r="Q58" s="10">
        <f t="shared" si="12"/>
        <v>-13120.866578012659</v>
      </c>
      <c r="R58" s="10">
        <f t="shared" si="12"/>
        <v>-13448.888242462976</v>
      </c>
      <c r="S58" s="10">
        <f t="shared" si="12"/>
        <v>-13785.110448524549</v>
      </c>
      <c r="T58" s="10">
        <f t="shared" si="12"/>
        <v>-14129.738209737661</v>
      </c>
      <c r="U58" s="10">
        <f t="shared" si="12"/>
        <v>-14482.981664981105</v>
      </c>
      <c r="V58" s="10">
        <f t="shared" si="12"/>
        <v>-14845.056206605632</v>
      </c>
      <c r="W58" s="10">
        <f t="shared" si="12"/>
        <v>-15216.18261177077</v>
      </c>
      <c r="X58" s="10">
        <f t="shared" si="12"/>
        <v>-15596.587177065039</v>
      </c>
      <c r="Y58" s="10">
        <f t="shared" si="12"/>
        <v>-85986.501856491668</v>
      </c>
      <c r="Z58" s="10">
        <f t="shared" si="12"/>
        <v>-16386.164402903956</v>
      </c>
      <c r="AA58" s="10">
        <f t="shared" si="12"/>
        <v>-16795.818512976552</v>
      </c>
      <c r="AB58" s="10">
        <f t="shared" si="12"/>
        <v>-17215.713975800965</v>
      </c>
      <c r="AC58" s="10">
        <f t="shared" si="12"/>
        <v>-17646.106825195991</v>
      </c>
      <c r="AD58" s="10">
        <f t="shared" si="12"/>
        <v>-18087.259495825889</v>
      </c>
      <c r="AE58" s="10">
        <f t="shared" si="12"/>
        <v>0</v>
      </c>
      <c r="AF58" s="10">
        <f t="shared" si="12"/>
        <v>0</v>
      </c>
      <c r="AG58" s="10">
        <f t="shared" si="12"/>
        <v>0</v>
      </c>
      <c r="AH58" s="10">
        <f t="shared" si="12"/>
        <v>0</v>
      </c>
      <c r="AI58" s="10">
        <f t="shared" si="12"/>
        <v>0</v>
      </c>
    </row>
    <row r="59" spans="1:35" ht="18" customHeight="1" x14ac:dyDescent="0.2">
      <c r="A59" s="81" t="s">
        <v>99</v>
      </c>
      <c r="B59" s="81" t="s">
        <v>35</v>
      </c>
      <c r="C59" s="10"/>
      <c r="E59" s="10">
        <f t="shared" ref="E59:AI59" si="13">E55+E58</f>
        <v>0</v>
      </c>
      <c r="F59" s="10">
        <f t="shared" si="13"/>
        <v>186801.7</v>
      </c>
      <c r="G59" s="10">
        <f t="shared" si="13"/>
        <v>184996.02693000005</v>
      </c>
      <c r="H59" s="10">
        <f>H55+H58</f>
        <v>183184.10942325703</v>
      </c>
      <c r="I59" s="10">
        <f t="shared" si="13"/>
        <v>181365.67538720355</v>
      </c>
      <c r="J59" s="10">
        <f t="shared" si="13"/>
        <v>179540.44767659518</v>
      </c>
      <c r="K59" s="10">
        <f t="shared" si="13"/>
        <v>177708.14397587441</v>
      </c>
      <c r="L59" s="10">
        <f t="shared" si="13"/>
        <v>175868.47667880982</v>
      </c>
      <c r="M59" s="10">
        <f t="shared" si="13"/>
        <v>174021.15276534538</v>
      </c>
      <c r="N59" s="10">
        <f t="shared" si="13"/>
        <v>172165.87367559309</v>
      </c>
      <c r="O59" s="10">
        <f t="shared" si="13"/>
        <v>100302.33518089958</v>
      </c>
      <c r="P59" s="10">
        <f t="shared" si="13"/>
        <v>168430.22725191803</v>
      </c>
      <c r="Q59" s="10">
        <f t="shared" si="13"/>
        <v>166549.23392361161</v>
      </c>
      <c r="R59" s="10">
        <f t="shared" si="13"/>
        <v>164659.03315711627</v>
      </c>
      <c r="S59" s="10">
        <f t="shared" si="13"/>
        <v>162759.29669838681</v>
      </c>
      <c r="T59" s="10">
        <f t="shared" si="13"/>
        <v>160849.68993354868</v>
      </c>
      <c r="U59" s="10">
        <f t="shared" si="13"/>
        <v>158929.87174087678</v>
      </c>
      <c r="V59" s="10">
        <f t="shared" si="13"/>
        <v>156999.49433931994</v>
      </c>
      <c r="W59" s="10">
        <f t="shared" si="13"/>
        <v>155058.20313348784</v>
      </c>
      <c r="X59" s="10">
        <f t="shared" si="13"/>
        <v>153105.63655501575</v>
      </c>
      <c r="Y59" s="10">
        <f t="shared" si="13"/>
        <v>81141.425900218834</v>
      </c>
      <c r="Z59" s="10">
        <f t="shared" si="13"/>
        <v>199640.77631669166</v>
      </c>
      <c r="AA59" s="10">
        <f t="shared" si="13"/>
        <v>202074.58669310779</v>
      </c>
      <c r="AB59" s="10">
        <f t="shared" si="13"/>
        <v>204543.14502227193</v>
      </c>
      <c r="AC59" s="10">
        <f t="shared" si="13"/>
        <v>207046.85250259395</v>
      </c>
      <c r="AD59" s="10">
        <f t="shared" si="13"/>
        <v>209586.11378994066</v>
      </c>
      <c r="AE59" s="10">
        <f t="shared" si="13"/>
        <v>0</v>
      </c>
      <c r="AF59" s="10">
        <f t="shared" si="13"/>
        <v>0</v>
      </c>
      <c r="AG59" s="10">
        <f t="shared" si="13"/>
        <v>0</v>
      </c>
      <c r="AH59" s="10">
        <f t="shared" si="13"/>
        <v>0</v>
      </c>
      <c r="AI59" s="10">
        <f t="shared" si="13"/>
        <v>0</v>
      </c>
    </row>
    <row r="60" spans="1:35" s="5" customFormat="1" ht="18" customHeight="1" x14ac:dyDescent="0.2">
      <c r="A60" s="46" t="s">
        <v>56</v>
      </c>
      <c r="B60" s="46"/>
      <c r="C60" s="56"/>
      <c r="E60" s="56"/>
      <c r="F60" s="56">
        <f>IF($B$9="Non-Taxable",0,-(AssetBasis)*F$46*DEP_01)</f>
        <v>0</v>
      </c>
      <c r="G60" s="56">
        <f>IF($B$9="Non-Taxable",0,-(AssetBasis)*G$46*Dep_02)</f>
        <v>0</v>
      </c>
      <c r="H60" s="56">
        <f>IF($B$9="Non-Taxable",0,-(AssetBasis)*H$46*Dep_03)</f>
        <v>0</v>
      </c>
      <c r="I60" s="56">
        <f>IF($B$9="Non-Taxable",0,-(AssetBasis)*I$46*DEP_04)</f>
        <v>0</v>
      </c>
      <c r="J60" s="56">
        <f>IF($B$9="Non-Taxable",0,-(AssetBasis)*J$46*DEP_05)</f>
        <v>0</v>
      </c>
      <c r="K60" s="56">
        <f>IF($B$9="Non-Taxable",0,-(AssetBasis)*K$46*DEP_06)</f>
        <v>0</v>
      </c>
      <c r="L60" s="56">
        <f>IF($B$9="Non-Taxable",0,-(AssetBasis)*L$46*DEP_07)</f>
        <v>0</v>
      </c>
      <c r="M60" s="56">
        <f>IF($B$9="Non-Taxable",0,-(AssetBasis)*M$46*DEP_08)</f>
        <v>0</v>
      </c>
      <c r="N60" s="56">
        <f>IF($B$9="Non-Taxable",0,-(AssetBasis)*N$46*DEP_09)</f>
        <v>0</v>
      </c>
      <c r="O60" s="56">
        <f>IF($B$9="Non-Taxable",0,-(AssetBasis)*O$46*DEP_10)</f>
        <v>0</v>
      </c>
      <c r="P60" s="56">
        <f>IF($B$9="Non-Taxable",0,-(AssetBasis)*P$46*DEP_11)</f>
        <v>0</v>
      </c>
      <c r="Q60" s="56">
        <f>IF($B$9="Non-Taxable",0,-(AssetBasis)*Q$46*DEP_12)</f>
        <v>0</v>
      </c>
      <c r="R60" s="56">
        <f>IF($B$9="Non-Taxable",0,-(AssetBasis)*R$46*DEP_13)</f>
        <v>0</v>
      </c>
      <c r="S60" s="56">
        <f>IF($B$9="Non-Taxable",0,-(AssetBasis)*S$46*DEP_14)</f>
        <v>0</v>
      </c>
      <c r="T60" s="56">
        <f>IF($B$9="Non-Taxable",0,-(AssetBasis)*T$46*DEP_15)</f>
        <v>0</v>
      </c>
      <c r="U60" s="56">
        <f>IF($B$9="Non-Taxable",0,-(AssetBasis)*U$46*DEP_16)</f>
        <v>0</v>
      </c>
      <c r="V60" s="56">
        <f>IF($B$9="Non-Taxable",0,-(AssetBasis)*V$46*DEP_17)</f>
        <v>0</v>
      </c>
      <c r="W60" s="56">
        <f>IF($B$9="Non-Taxable",0,-(AssetBasis)*W$46*DEP_18)</f>
        <v>0</v>
      </c>
      <c r="X60" s="56">
        <f>IF($B$9="Non-Taxable",0,-(AssetBasis)*X$46*DEP_19)</f>
        <v>0</v>
      </c>
      <c r="Y60" s="56">
        <f>IF($B$9="Non-Taxable",0,-(AssetBasis)*Y$46*DEP_20)</f>
        <v>0</v>
      </c>
      <c r="Z60" s="56">
        <f>IF($B$9="Non-Taxable",0,-(AssetBasis)*Z$46*DEP_21)</f>
        <v>0</v>
      </c>
      <c r="AA60" s="56">
        <f>IF($B$9="Non-Taxable",0,-(AssetBasis)*AA$46*DEP_22)</f>
        <v>0</v>
      </c>
      <c r="AB60" s="56">
        <f>IF($B$9="Non-Taxable",0,-(AssetBasis)*AB$46*DEP_23)</f>
        <v>0</v>
      </c>
      <c r="AC60" s="56">
        <f>IF($B$9="Non-Taxable",0,-(AssetBasis)*AC$46*DEP_24)</f>
        <v>0</v>
      </c>
      <c r="AD60" s="56">
        <f>IF($B$9="Non-Taxable",0,-(AssetBasis)*AD$46*DEP_25)</f>
        <v>0</v>
      </c>
      <c r="AE60" s="56">
        <f>IF($B$9="Non-Taxable",0,-(AssetBasis)*AE$46*DEP_26)</f>
        <v>0</v>
      </c>
      <c r="AF60" s="56">
        <f>IF($B$9="Non-Taxable",0,-(AssetBasis)*AF$46*DEP_27)</f>
        <v>0</v>
      </c>
      <c r="AG60" s="56">
        <f>IF($B$9="Non-Taxable",0,-(AssetBasis)*AG$46*DEP_28)</f>
        <v>0</v>
      </c>
      <c r="AH60" s="56">
        <f>IF($B$9="Non-Taxable",0,-(AssetBasis)*AH$46*DEP_29)</f>
        <v>0</v>
      </c>
      <c r="AI60" s="56">
        <f>IF($B$9="Non-Taxable",0,-(AssetBasis)*AI$46*DEP_30)</f>
        <v>0</v>
      </c>
    </row>
    <row r="61" spans="1:35" s="5" customFormat="1" ht="18" customHeight="1" x14ac:dyDescent="0.2">
      <c r="A61" s="80"/>
      <c r="B61" s="80" t="s">
        <v>37</v>
      </c>
      <c r="C61" s="56"/>
      <c r="E61" s="56">
        <f>SUM(E59:E60)</f>
        <v>0</v>
      </c>
      <c r="F61" s="56">
        <f>SUM(F59:F60)</f>
        <v>186801.7</v>
      </c>
      <c r="G61" s="56">
        <f t="shared" ref="G61:AI61" si="14">SUM(G59:G60)</f>
        <v>184996.02693000005</v>
      </c>
      <c r="H61" s="56">
        <f t="shared" si="14"/>
        <v>183184.10942325703</v>
      </c>
      <c r="I61" s="56">
        <f t="shared" si="14"/>
        <v>181365.67538720355</v>
      </c>
      <c r="J61" s="56">
        <f t="shared" si="14"/>
        <v>179540.44767659518</v>
      </c>
      <c r="K61" s="56">
        <f>SUM(K59:K60)</f>
        <v>177708.14397587441</v>
      </c>
      <c r="L61" s="56">
        <f t="shared" si="14"/>
        <v>175868.47667880982</v>
      </c>
      <c r="M61" s="56">
        <f t="shared" si="14"/>
        <v>174021.15276534538</v>
      </c>
      <c r="N61" s="56">
        <f t="shared" si="14"/>
        <v>172165.87367559309</v>
      </c>
      <c r="O61" s="56">
        <f t="shared" si="14"/>
        <v>100302.33518089958</v>
      </c>
      <c r="P61" s="56">
        <f t="shared" si="14"/>
        <v>168430.22725191803</v>
      </c>
      <c r="Q61" s="56">
        <f t="shared" si="14"/>
        <v>166549.23392361161</v>
      </c>
      <c r="R61" s="56">
        <f t="shared" si="14"/>
        <v>164659.03315711627</v>
      </c>
      <c r="S61" s="56">
        <f t="shared" si="14"/>
        <v>162759.29669838681</v>
      </c>
      <c r="T61" s="56">
        <f t="shared" si="14"/>
        <v>160849.68993354868</v>
      </c>
      <c r="U61" s="56">
        <f t="shared" si="14"/>
        <v>158929.87174087678</v>
      </c>
      <c r="V61" s="56">
        <f t="shared" si="14"/>
        <v>156999.49433931994</v>
      </c>
      <c r="W61" s="56">
        <f t="shared" si="14"/>
        <v>155058.20313348784</v>
      </c>
      <c r="X61" s="56">
        <f t="shared" si="14"/>
        <v>153105.63655501575</v>
      </c>
      <c r="Y61" s="56">
        <f t="shared" si="14"/>
        <v>81141.425900218834</v>
      </c>
      <c r="Z61" s="56">
        <f t="shared" si="14"/>
        <v>199640.77631669166</v>
      </c>
      <c r="AA61" s="56">
        <f t="shared" si="14"/>
        <v>202074.58669310779</v>
      </c>
      <c r="AB61" s="56">
        <f t="shared" si="14"/>
        <v>204543.14502227193</v>
      </c>
      <c r="AC61" s="56">
        <f t="shared" si="14"/>
        <v>207046.85250259395</v>
      </c>
      <c r="AD61" s="56">
        <f t="shared" si="14"/>
        <v>209586.11378994066</v>
      </c>
      <c r="AE61" s="56">
        <f t="shared" si="14"/>
        <v>0</v>
      </c>
      <c r="AF61" s="56">
        <f t="shared" si="14"/>
        <v>0</v>
      </c>
      <c r="AG61" s="56">
        <f t="shared" si="14"/>
        <v>0</v>
      </c>
      <c r="AH61" s="56">
        <f t="shared" si="14"/>
        <v>0</v>
      </c>
      <c r="AI61" s="56">
        <f t="shared" si="14"/>
        <v>0</v>
      </c>
    </row>
    <row r="62" spans="1:35" s="5" customFormat="1" ht="18" customHeight="1" x14ac:dyDescent="0.2">
      <c r="A62" s="46" t="s">
        <v>38</v>
      </c>
      <c r="B62" s="46"/>
      <c r="C62" s="56"/>
      <c r="E62" s="56"/>
      <c r="F62" s="56">
        <f t="shared" ref="F62:AI62" si="15">Interest</f>
        <v>-75600</v>
      </c>
      <c r="G62" s="56">
        <f t="shared" si="15"/>
        <v>-72352.015044978354</v>
      </c>
      <c r="H62" s="56">
        <f t="shared" si="15"/>
        <v>-68909.150992655414</v>
      </c>
      <c r="I62" s="56">
        <f t="shared" si="15"/>
        <v>-65259.715097193104</v>
      </c>
      <c r="J62" s="56">
        <f t="shared" si="15"/>
        <v>-61391.313048003045</v>
      </c>
      <c r="K62" s="56">
        <f t="shared" si="15"/>
        <v>-57290.806875861585</v>
      </c>
      <c r="L62" s="56">
        <f t="shared" si="15"/>
        <v>-52944.270333391643</v>
      </c>
      <c r="M62" s="56">
        <f t="shared" si="15"/>
        <v>-48336.941598373502</v>
      </c>
      <c r="N62" s="56">
        <f t="shared" si="15"/>
        <v>-43453.173139254264</v>
      </c>
      <c r="O62" s="56">
        <f t="shared" si="15"/>
        <v>-38276.378572587877</v>
      </c>
      <c r="P62" s="56">
        <f t="shared" si="15"/>
        <v>-32788.976331921505</v>
      </c>
      <c r="Q62" s="56">
        <f t="shared" si="15"/>
        <v>-26972.32995681516</v>
      </c>
      <c r="R62" s="56">
        <f t="shared" si="15"/>
        <v>-20806.684799202427</v>
      </c>
      <c r="S62" s="56">
        <f t="shared" si="15"/>
        <v>-14271.100932132931</v>
      </c>
      <c r="T62" s="56">
        <f t="shared" si="15"/>
        <v>-7343.3820330392673</v>
      </c>
      <c r="U62" s="56">
        <f t="shared" si="15"/>
        <v>0</v>
      </c>
      <c r="V62" s="56">
        <f t="shared" si="15"/>
        <v>0</v>
      </c>
      <c r="W62" s="56">
        <f t="shared" si="15"/>
        <v>0</v>
      </c>
      <c r="X62" s="56">
        <f t="shared" si="15"/>
        <v>0</v>
      </c>
      <c r="Y62" s="56">
        <f t="shared" si="15"/>
        <v>0</v>
      </c>
      <c r="Z62" s="56">
        <f t="shared" si="15"/>
        <v>0</v>
      </c>
      <c r="AA62" s="56">
        <f t="shared" si="15"/>
        <v>0</v>
      </c>
      <c r="AB62" s="56">
        <f t="shared" si="15"/>
        <v>0</v>
      </c>
      <c r="AC62" s="56">
        <f t="shared" si="15"/>
        <v>0</v>
      </c>
      <c r="AD62" s="56">
        <f t="shared" si="15"/>
        <v>0</v>
      </c>
      <c r="AE62" s="56">
        <f t="shared" si="15"/>
        <v>0</v>
      </c>
      <c r="AF62" s="56">
        <f t="shared" si="15"/>
        <v>0</v>
      </c>
      <c r="AG62" s="56">
        <f t="shared" si="15"/>
        <v>0</v>
      </c>
      <c r="AH62" s="56">
        <f t="shared" si="15"/>
        <v>0</v>
      </c>
      <c r="AI62" s="56">
        <f t="shared" si="15"/>
        <v>0</v>
      </c>
    </row>
    <row r="63" spans="1:35" s="5" customFormat="1" ht="18" customHeight="1" x14ac:dyDescent="0.2">
      <c r="A63" s="80"/>
      <c r="B63" s="80" t="s">
        <v>39</v>
      </c>
      <c r="C63" s="56"/>
      <c r="E63" s="56">
        <f>E61+E62</f>
        <v>0</v>
      </c>
      <c r="F63" s="56">
        <f>F61+F62</f>
        <v>111201.70000000001</v>
      </c>
      <c r="G63" s="56">
        <f t="shared" ref="G63:AI63" si="16">G61+G62</f>
        <v>112644.0118850217</v>
      </c>
      <c r="H63" s="56">
        <f t="shared" si="16"/>
        <v>114274.95843060162</v>
      </c>
      <c r="I63" s="56">
        <f t="shared" si="16"/>
        <v>116105.96029001044</v>
      </c>
      <c r="J63" s="56">
        <f>J61+J62</f>
        <v>118149.13462859215</v>
      </c>
      <c r="K63" s="56">
        <f>K61+K62</f>
        <v>120417.33710001282</v>
      </c>
      <c r="L63" s="56">
        <f t="shared" si="16"/>
        <v>122924.20634541818</v>
      </c>
      <c r="M63" s="56">
        <f t="shared" si="16"/>
        <v>125684.21116697189</v>
      </c>
      <c r="N63" s="56">
        <f t="shared" si="16"/>
        <v>128712.70053633882</v>
      </c>
      <c r="O63" s="56">
        <f t="shared" si="16"/>
        <v>62025.956608311702</v>
      </c>
      <c r="P63" s="56">
        <f t="shared" si="16"/>
        <v>135641.25091999653</v>
      </c>
      <c r="Q63" s="56">
        <f t="shared" si="16"/>
        <v>139576.90396679644</v>
      </c>
      <c r="R63" s="56">
        <f t="shared" si="16"/>
        <v>143852.34835791384</v>
      </c>
      <c r="S63" s="56">
        <f t="shared" si="16"/>
        <v>148488.19576625389</v>
      </c>
      <c r="T63" s="56">
        <f t="shared" si="16"/>
        <v>153506.30790050942</v>
      </c>
      <c r="U63" s="56">
        <f t="shared" si="16"/>
        <v>158929.87174087678</v>
      </c>
      <c r="V63" s="56">
        <f t="shared" si="16"/>
        <v>156999.49433931994</v>
      </c>
      <c r="W63" s="56">
        <f t="shared" si="16"/>
        <v>155058.20313348784</v>
      </c>
      <c r="X63" s="56">
        <f t="shared" si="16"/>
        <v>153105.63655501575</v>
      </c>
      <c r="Y63" s="56">
        <f t="shared" si="16"/>
        <v>81141.425900218834</v>
      </c>
      <c r="Z63" s="56">
        <f t="shared" si="16"/>
        <v>199640.77631669166</v>
      </c>
      <c r="AA63" s="56">
        <f t="shared" si="16"/>
        <v>202074.58669310779</v>
      </c>
      <c r="AB63" s="56">
        <f t="shared" si="16"/>
        <v>204543.14502227193</v>
      </c>
      <c r="AC63" s="56">
        <f t="shared" si="16"/>
        <v>207046.85250259395</v>
      </c>
      <c r="AD63" s="56">
        <f t="shared" si="16"/>
        <v>209586.11378994066</v>
      </c>
      <c r="AE63" s="56">
        <f t="shared" si="16"/>
        <v>0</v>
      </c>
      <c r="AF63" s="56">
        <f t="shared" si="16"/>
        <v>0</v>
      </c>
      <c r="AG63" s="56">
        <f t="shared" si="16"/>
        <v>0</v>
      </c>
      <c r="AH63" s="56">
        <f t="shared" si="16"/>
        <v>0</v>
      </c>
      <c r="AI63" s="56">
        <f t="shared" si="16"/>
        <v>0</v>
      </c>
    </row>
    <row r="64" spans="1:35" s="30" customFormat="1" ht="18" customHeight="1" x14ac:dyDescent="0.2">
      <c r="A64" s="46" t="s">
        <v>57</v>
      </c>
      <c r="B64" s="46"/>
      <c r="C64" s="56"/>
      <c r="E64" s="56">
        <f t="shared" ref="E64" si="17">IF(taxable="Taxable (Corporation)",IF(StateTaxAdj&gt;=0,-EBT*FedTaxRate,(-EBT*FedTaxRate)-(StateTaxAdj*FedTaxRate)),0)</f>
        <v>0</v>
      </c>
      <c r="F64" s="56">
        <f t="shared" ref="F64:AI64" si="18">IF(taxable="Non-Taxable",0,IF(StateTaxAdj&gt;=0,-EBT*FedTaxRate,(-EBT*FedTaxRate)-(StateTaxAdj*FedTaxRate)))</f>
        <v>0</v>
      </c>
      <c r="G64" s="56">
        <f t="shared" si="18"/>
        <v>0</v>
      </c>
      <c r="H64" s="56">
        <f t="shared" si="18"/>
        <v>0</v>
      </c>
      <c r="I64" s="56">
        <f t="shared" si="18"/>
        <v>0</v>
      </c>
      <c r="J64" s="56">
        <f t="shared" si="18"/>
        <v>0</v>
      </c>
      <c r="K64" s="56">
        <f t="shared" si="18"/>
        <v>0</v>
      </c>
      <c r="L64" s="56">
        <f t="shared" si="18"/>
        <v>0</v>
      </c>
      <c r="M64" s="56">
        <f t="shared" si="18"/>
        <v>0</v>
      </c>
      <c r="N64" s="56">
        <f t="shared" si="18"/>
        <v>0</v>
      </c>
      <c r="O64" s="56">
        <f t="shared" si="18"/>
        <v>0</v>
      </c>
      <c r="P64" s="56">
        <f t="shared" si="18"/>
        <v>0</v>
      </c>
      <c r="Q64" s="56">
        <f t="shared" si="18"/>
        <v>0</v>
      </c>
      <c r="R64" s="56">
        <f t="shared" si="18"/>
        <v>0</v>
      </c>
      <c r="S64" s="56">
        <f t="shared" si="18"/>
        <v>0</v>
      </c>
      <c r="T64" s="56">
        <f t="shared" si="18"/>
        <v>0</v>
      </c>
      <c r="U64" s="56">
        <f t="shared" si="18"/>
        <v>0</v>
      </c>
      <c r="V64" s="56">
        <f t="shared" si="18"/>
        <v>0</v>
      </c>
      <c r="W64" s="56">
        <f t="shared" si="18"/>
        <v>0</v>
      </c>
      <c r="X64" s="56">
        <f t="shared" si="18"/>
        <v>0</v>
      </c>
      <c r="Y64" s="56">
        <f t="shared" si="18"/>
        <v>0</v>
      </c>
      <c r="Z64" s="56">
        <f t="shared" si="18"/>
        <v>0</v>
      </c>
      <c r="AA64" s="56">
        <f t="shared" si="18"/>
        <v>0</v>
      </c>
      <c r="AB64" s="56">
        <f t="shared" si="18"/>
        <v>0</v>
      </c>
      <c r="AC64" s="56">
        <f t="shared" si="18"/>
        <v>0</v>
      </c>
      <c r="AD64" s="56">
        <f t="shared" si="18"/>
        <v>0</v>
      </c>
      <c r="AE64" s="56">
        <f t="shared" si="18"/>
        <v>0</v>
      </c>
      <c r="AF64" s="56">
        <f t="shared" si="18"/>
        <v>0</v>
      </c>
      <c r="AG64" s="56">
        <f t="shared" si="18"/>
        <v>0</v>
      </c>
      <c r="AH64" s="56">
        <f t="shared" si="18"/>
        <v>0</v>
      </c>
      <c r="AI64" s="56">
        <f t="shared" si="18"/>
        <v>0</v>
      </c>
    </row>
    <row r="65" spans="1:35" s="30" customFormat="1" ht="18" customHeight="1" x14ac:dyDescent="0.2">
      <c r="A65" s="47" t="s">
        <v>58</v>
      </c>
      <c r="B65" s="47"/>
      <c r="C65" s="23"/>
      <c r="E65" s="23">
        <f t="shared" ref="E65" si="19">IF(taxable="Taxable (Corporation)",IF(ProjectYear&lt;=projectlife,-(EBT-FedDepr)*StateTaxRate,0),0)</f>
        <v>0</v>
      </c>
      <c r="F65" s="23">
        <f t="shared" ref="F65:AI65" si="20">IF(taxable="Non-Taxable",0,IF(ProjectYear&lt;=projectlife,-(EBT-FedDepr)*StateTaxRate,0))</f>
        <v>0</v>
      </c>
      <c r="G65" s="23">
        <f t="shared" si="20"/>
        <v>0</v>
      </c>
      <c r="H65" s="23">
        <f t="shared" si="20"/>
        <v>0</v>
      </c>
      <c r="I65" s="23">
        <f t="shared" si="20"/>
        <v>0</v>
      </c>
      <c r="J65" s="23">
        <f t="shared" si="20"/>
        <v>0</v>
      </c>
      <c r="K65" s="23">
        <f t="shared" si="20"/>
        <v>0</v>
      </c>
      <c r="L65" s="23">
        <f t="shared" si="20"/>
        <v>0</v>
      </c>
      <c r="M65" s="23">
        <f t="shared" si="20"/>
        <v>0</v>
      </c>
      <c r="N65" s="23">
        <f t="shared" si="20"/>
        <v>0</v>
      </c>
      <c r="O65" s="23">
        <f t="shared" si="20"/>
        <v>0</v>
      </c>
      <c r="P65" s="23">
        <f t="shared" si="20"/>
        <v>0</v>
      </c>
      <c r="Q65" s="23">
        <f t="shared" si="20"/>
        <v>0</v>
      </c>
      <c r="R65" s="23">
        <f t="shared" si="20"/>
        <v>0</v>
      </c>
      <c r="S65" s="23">
        <f t="shared" si="20"/>
        <v>0</v>
      </c>
      <c r="T65" s="23">
        <f t="shared" si="20"/>
        <v>0</v>
      </c>
      <c r="U65" s="23">
        <f t="shared" si="20"/>
        <v>0</v>
      </c>
      <c r="V65" s="23">
        <f t="shared" si="20"/>
        <v>0</v>
      </c>
      <c r="W65" s="23">
        <f t="shared" si="20"/>
        <v>0</v>
      </c>
      <c r="X65" s="23">
        <f t="shared" si="20"/>
        <v>0</v>
      </c>
      <c r="Y65" s="23">
        <f t="shared" si="20"/>
        <v>0</v>
      </c>
      <c r="Z65" s="23">
        <f t="shared" si="20"/>
        <v>0</v>
      </c>
      <c r="AA65" s="23">
        <f t="shared" si="20"/>
        <v>0</v>
      </c>
      <c r="AB65" s="23">
        <f t="shared" si="20"/>
        <v>0</v>
      </c>
      <c r="AC65" s="23">
        <f t="shared" si="20"/>
        <v>0</v>
      </c>
      <c r="AD65" s="23">
        <f t="shared" si="20"/>
        <v>0</v>
      </c>
      <c r="AE65" s="23">
        <f t="shared" si="20"/>
        <v>0</v>
      </c>
      <c r="AF65" s="23">
        <f t="shared" si="20"/>
        <v>0</v>
      </c>
      <c r="AG65" s="23">
        <f t="shared" si="20"/>
        <v>0</v>
      </c>
      <c r="AH65" s="23">
        <f t="shared" si="20"/>
        <v>0</v>
      </c>
      <c r="AI65" s="23">
        <f t="shared" si="20"/>
        <v>0</v>
      </c>
    </row>
    <row r="66" spans="1:35" s="21" customFormat="1" ht="18" customHeight="1" x14ac:dyDescent="0.25">
      <c r="A66" s="82" t="s">
        <v>40</v>
      </c>
      <c r="B66" s="83"/>
      <c r="C66" s="84"/>
      <c r="D66" s="84"/>
      <c r="E66" s="84">
        <f>SUM(E63:E65)</f>
        <v>0</v>
      </c>
      <c r="F66" s="84">
        <f>SUM(F63:F65)</f>
        <v>111201.70000000001</v>
      </c>
      <c r="G66" s="84">
        <f t="shared" ref="G66:AI66" si="21">SUM(G63:G65)</f>
        <v>112644.0118850217</v>
      </c>
      <c r="H66" s="84">
        <f t="shared" si="21"/>
        <v>114274.95843060162</v>
      </c>
      <c r="I66" s="84">
        <f t="shared" si="21"/>
        <v>116105.96029001044</v>
      </c>
      <c r="J66" s="84">
        <f t="shared" si="21"/>
        <v>118149.13462859215</v>
      </c>
      <c r="K66" s="84">
        <f t="shared" si="21"/>
        <v>120417.33710001282</v>
      </c>
      <c r="L66" s="84">
        <f t="shared" si="21"/>
        <v>122924.20634541818</v>
      </c>
      <c r="M66" s="84">
        <f t="shared" si="21"/>
        <v>125684.21116697189</v>
      </c>
      <c r="N66" s="84">
        <f t="shared" si="21"/>
        <v>128712.70053633882</v>
      </c>
      <c r="O66" s="84">
        <f t="shared" si="21"/>
        <v>62025.956608311702</v>
      </c>
      <c r="P66" s="84">
        <f t="shared" si="21"/>
        <v>135641.25091999653</v>
      </c>
      <c r="Q66" s="84">
        <f t="shared" si="21"/>
        <v>139576.90396679644</v>
      </c>
      <c r="R66" s="84">
        <f t="shared" si="21"/>
        <v>143852.34835791384</v>
      </c>
      <c r="S66" s="84">
        <f t="shared" si="21"/>
        <v>148488.19576625389</v>
      </c>
      <c r="T66" s="84">
        <f t="shared" si="21"/>
        <v>153506.30790050942</v>
      </c>
      <c r="U66" s="84">
        <f t="shared" si="21"/>
        <v>158929.87174087678</v>
      </c>
      <c r="V66" s="84">
        <f t="shared" si="21"/>
        <v>156999.49433931994</v>
      </c>
      <c r="W66" s="84">
        <f t="shared" si="21"/>
        <v>155058.20313348784</v>
      </c>
      <c r="X66" s="84">
        <f t="shared" si="21"/>
        <v>153105.63655501575</v>
      </c>
      <c r="Y66" s="84">
        <f t="shared" si="21"/>
        <v>81141.425900218834</v>
      </c>
      <c r="Z66" s="84">
        <f t="shared" si="21"/>
        <v>199640.77631669166</v>
      </c>
      <c r="AA66" s="84">
        <f t="shared" si="21"/>
        <v>202074.58669310779</v>
      </c>
      <c r="AB66" s="84">
        <f t="shared" si="21"/>
        <v>204543.14502227193</v>
      </c>
      <c r="AC66" s="84">
        <f t="shared" si="21"/>
        <v>207046.85250259395</v>
      </c>
      <c r="AD66" s="84">
        <f t="shared" si="21"/>
        <v>209586.11378994066</v>
      </c>
      <c r="AE66" s="84">
        <f t="shared" si="21"/>
        <v>0</v>
      </c>
      <c r="AF66" s="84">
        <f t="shared" si="21"/>
        <v>0</v>
      </c>
      <c r="AG66" s="84">
        <f t="shared" si="21"/>
        <v>0</v>
      </c>
      <c r="AH66" s="84">
        <f t="shared" si="21"/>
        <v>0</v>
      </c>
      <c r="AI66" s="85">
        <f t="shared" si="21"/>
        <v>0</v>
      </c>
    </row>
    <row r="67" spans="1:35" s="5" customFormat="1" ht="18" customHeight="1" x14ac:dyDescent="0.25">
      <c r="A67" s="57" t="s">
        <v>53</v>
      </c>
      <c r="B67" s="57"/>
      <c r="C67" s="56"/>
      <c r="E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row>
    <row r="68" spans="1:35" s="5" customFormat="1" ht="18" customHeight="1" x14ac:dyDescent="0.25">
      <c r="A68" s="58" t="s">
        <v>103</v>
      </c>
      <c r="B68" s="58"/>
      <c r="C68" s="56"/>
      <c r="E68" s="56">
        <f t="shared" ref="E68:AI68" si="22">E66-E60</f>
        <v>0</v>
      </c>
      <c r="F68" s="56">
        <f>F66-F60</f>
        <v>111201.70000000001</v>
      </c>
      <c r="G68" s="56">
        <f t="shared" si="22"/>
        <v>112644.0118850217</v>
      </c>
      <c r="H68" s="56">
        <f t="shared" si="22"/>
        <v>114274.95843060162</v>
      </c>
      <c r="I68" s="56">
        <f t="shared" si="22"/>
        <v>116105.96029001044</v>
      </c>
      <c r="J68" s="56">
        <f t="shared" si="22"/>
        <v>118149.13462859215</v>
      </c>
      <c r="K68" s="56">
        <f t="shared" si="22"/>
        <v>120417.33710001282</v>
      </c>
      <c r="L68" s="56">
        <f t="shared" si="22"/>
        <v>122924.20634541818</v>
      </c>
      <c r="M68" s="56">
        <f t="shared" si="22"/>
        <v>125684.21116697189</v>
      </c>
      <c r="N68" s="56">
        <f t="shared" si="22"/>
        <v>128712.70053633882</v>
      </c>
      <c r="O68" s="56">
        <f t="shared" si="22"/>
        <v>62025.956608311702</v>
      </c>
      <c r="P68" s="56">
        <f t="shared" si="22"/>
        <v>135641.25091999653</v>
      </c>
      <c r="Q68" s="56">
        <f t="shared" si="22"/>
        <v>139576.90396679644</v>
      </c>
      <c r="R68" s="56">
        <f t="shared" si="22"/>
        <v>143852.34835791384</v>
      </c>
      <c r="S68" s="56">
        <f t="shared" si="22"/>
        <v>148488.19576625389</v>
      </c>
      <c r="T68" s="56">
        <f t="shared" si="22"/>
        <v>153506.30790050942</v>
      </c>
      <c r="U68" s="56">
        <f t="shared" si="22"/>
        <v>158929.87174087678</v>
      </c>
      <c r="V68" s="56">
        <f t="shared" si="22"/>
        <v>156999.49433931994</v>
      </c>
      <c r="W68" s="56">
        <f t="shared" si="22"/>
        <v>155058.20313348784</v>
      </c>
      <c r="X68" s="56">
        <f t="shared" si="22"/>
        <v>153105.63655501575</v>
      </c>
      <c r="Y68" s="56">
        <f t="shared" si="22"/>
        <v>81141.425900218834</v>
      </c>
      <c r="Z68" s="56">
        <f t="shared" si="22"/>
        <v>199640.77631669166</v>
      </c>
      <c r="AA68" s="56">
        <f t="shared" si="22"/>
        <v>202074.58669310779</v>
      </c>
      <c r="AB68" s="56">
        <f t="shared" si="22"/>
        <v>204543.14502227193</v>
      </c>
      <c r="AC68" s="56">
        <f t="shared" si="22"/>
        <v>207046.85250259395</v>
      </c>
      <c r="AD68" s="56">
        <f t="shared" si="22"/>
        <v>209586.11378994066</v>
      </c>
      <c r="AE68" s="56">
        <f t="shared" si="22"/>
        <v>0</v>
      </c>
      <c r="AF68" s="56">
        <f t="shared" si="22"/>
        <v>0</v>
      </c>
      <c r="AG68" s="56">
        <f t="shared" si="22"/>
        <v>0</v>
      </c>
      <c r="AH68" s="56">
        <f t="shared" si="22"/>
        <v>0</v>
      </c>
      <c r="AI68" s="56">
        <f t="shared" si="22"/>
        <v>0</v>
      </c>
    </row>
    <row r="69" spans="1:35" s="5" customFormat="1" ht="18" customHeight="1" x14ac:dyDescent="0.25">
      <c r="A69" s="58" t="s">
        <v>46</v>
      </c>
      <c r="B69" s="58"/>
      <c r="C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row>
    <row r="70" spans="1:35" s="5" customFormat="1" ht="18" customHeight="1" x14ac:dyDescent="0.2">
      <c r="A70" s="59" t="s">
        <v>127</v>
      </c>
      <c r="B70" s="59"/>
      <c r="C70" s="56"/>
      <c r="E70" s="56">
        <f>-(SysCost)</f>
        <v>-2100000</v>
      </c>
      <c r="F70" s="56">
        <f t="shared" ref="F70:AI70" si="23">IF(F$44=$B$16,$B$15,0)</f>
        <v>0</v>
      </c>
      <c r="G70" s="56">
        <f t="shared" si="23"/>
        <v>0</v>
      </c>
      <c r="H70" s="56">
        <f t="shared" si="23"/>
        <v>0</v>
      </c>
      <c r="I70" s="56">
        <f t="shared" si="23"/>
        <v>0</v>
      </c>
      <c r="J70" s="56">
        <f t="shared" si="23"/>
        <v>0</v>
      </c>
      <c r="K70" s="56">
        <f t="shared" si="23"/>
        <v>0</v>
      </c>
      <c r="L70" s="56">
        <f t="shared" si="23"/>
        <v>0</v>
      </c>
      <c r="M70" s="56">
        <f t="shared" si="23"/>
        <v>0</v>
      </c>
      <c r="N70" s="56">
        <f t="shared" si="23"/>
        <v>0</v>
      </c>
      <c r="O70" s="56">
        <f t="shared" si="23"/>
        <v>0</v>
      </c>
      <c r="P70" s="56">
        <f t="shared" si="23"/>
        <v>0</v>
      </c>
      <c r="Q70" s="56">
        <f t="shared" si="23"/>
        <v>0</v>
      </c>
      <c r="R70" s="56">
        <f t="shared" si="23"/>
        <v>0</v>
      </c>
      <c r="S70" s="56">
        <f t="shared" si="23"/>
        <v>0</v>
      </c>
      <c r="T70" s="56">
        <f t="shared" si="23"/>
        <v>0</v>
      </c>
      <c r="U70" s="56">
        <f t="shared" si="23"/>
        <v>0</v>
      </c>
      <c r="V70" s="56">
        <f t="shared" si="23"/>
        <v>0</v>
      </c>
      <c r="W70" s="56">
        <f t="shared" si="23"/>
        <v>0</v>
      </c>
      <c r="X70" s="56">
        <f t="shared" si="23"/>
        <v>0</v>
      </c>
      <c r="Y70" s="56">
        <f t="shared" si="23"/>
        <v>0</v>
      </c>
      <c r="Z70" s="56">
        <f t="shared" si="23"/>
        <v>0</v>
      </c>
      <c r="AA70" s="56">
        <f t="shared" si="23"/>
        <v>0</v>
      </c>
      <c r="AB70" s="56">
        <f t="shared" si="23"/>
        <v>0</v>
      </c>
      <c r="AC70" s="56">
        <f t="shared" si="23"/>
        <v>0</v>
      </c>
      <c r="AD70" s="56">
        <f t="shared" si="23"/>
        <v>0</v>
      </c>
      <c r="AE70" s="56">
        <f t="shared" si="23"/>
        <v>0</v>
      </c>
      <c r="AF70" s="56">
        <f t="shared" si="23"/>
        <v>0</v>
      </c>
      <c r="AG70" s="56">
        <f t="shared" si="23"/>
        <v>0</v>
      </c>
      <c r="AH70" s="56">
        <f t="shared" si="23"/>
        <v>0</v>
      </c>
      <c r="AI70" s="56">
        <f t="shared" si="23"/>
        <v>0</v>
      </c>
    </row>
    <row r="71" spans="1:35" s="5" customFormat="1" ht="18" customHeight="1" x14ac:dyDescent="0.2">
      <c r="A71" s="59" t="s">
        <v>61</v>
      </c>
      <c r="B71" s="59"/>
      <c r="C71" s="56"/>
      <c r="E71" s="56">
        <f>IF(taxable="Non-Taxable",0,$H$14)</f>
        <v>0</v>
      </c>
      <c r="F71" s="70"/>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row>
    <row r="72" spans="1:35" s="5" customFormat="1" ht="18" customHeight="1" x14ac:dyDescent="0.2">
      <c r="A72" s="59" t="s">
        <v>77</v>
      </c>
      <c r="B72" s="59"/>
      <c r="C72" s="56"/>
      <c r="E72" s="56">
        <f>B19</f>
        <v>0</v>
      </c>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row>
    <row r="73" spans="1:35" s="5" customFormat="1" ht="18" customHeight="1" x14ac:dyDescent="0.2">
      <c r="A73" s="55" t="s">
        <v>47</v>
      </c>
      <c r="B73" s="55"/>
      <c r="C73" s="56"/>
      <c r="E73" s="56">
        <f t="shared" ref="E73:AI73" si="24">SUM(E70:E72)</f>
        <v>-2100000</v>
      </c>
      <c r="F73" s="56">
        <f t="shared" si="24"/>
        <v>0</v>
      </c>
      <c r="G73" s="56">
        <f t="shared" si="24"/>
        <v>0</v>
      </c>
      <c r="H73" s="56">
        <f t="shared" si="24"/>
        <v>0</v>
      </c>
      <c r="I73" s="56">
        <f t="shared" si="24"/>
        <v>0</v>
      </c>
      <c r="J73" s="56">
        <f t="shared" si="24"/>
        <v>0</v>
      </c>
      <c r="K73" s="56">
        <f t="shared" si="24"/>
        <v>0</v>
      </c>
      <c r="L73" s="56">
        <f t="shared" si="24"/>
        <v>0</v>
      </c>
      <c r="M73" s="56">
        <f t="shared" si="24"/>
        <v>0</v>
      </c>
      <c r="N73" s="56">
        <f t="shared" si="24"/>
        <v>0</v>
      </c>
      <c r="O73" s="56">
        <f t="shared" si="24"/>
        <v>0</v>
      </c>
      <c r="P73" s="56">
        <f t="shared" si="24"/>
        <v>0</v>
      </c>
      <c r="Q73" s="56">
        <f t="shared" si="24"/>
        <v>0</v>
      </c>
      <c r="R73" s="56">
        <f t="shared" si="24"/>
        <v>0</v>
      </c>
      <c r="S73" s="56">
        <f t="shared" si="24"/>
        <v>0</v>
      </c>
      <c r="T73" s="56">
        <f t="shared" si="24"/>
        <v>0</v>
      </c>
      <c r="U73" s="56">
        <f t="shared" si="24"/>
        <v>0</v>
      </c>
      <c r="V73" s="56">
        <f t="shared" si="24"/>
        <v>0</v>
      </c>
      <c r="W73" s="56">
        <f t="shared" si="24"/>
        <v>0</v>
      </c>
      <c r="X73" s="56">
        <f t="shared" si="24"/>
        <v>0</v>
      </c>
      <c r="Y73" s="56">
        <f t="shared" si="24"/>
        <v>0</v>
      </c>
      <c r="Z73" s="56">
        <f t="shared" si="24"/>
        <v>0</v>
      </c>
      <c r="AA73" s="56">
        <f t="shared" si="24"/>
        <v>0</v>
      </c>
      <c r="AB73" s="56">
        <f t="shared" si="24"/>
        <v>0</v>
      </c>
      <c r="AC73" s="56">
        <f t="shared" si="24"/>
        <v>0</v>
      </c>
      <c r="AD73" s="56">
        <f t="shared" si="24"/>
        <v>0</v>
      </c>
      <c r="AE73" s="56">
        <f t="shared" si="24"/>
        <v>0</v>
      </c>
      <c r="AF73" s="56">
        <f t="shared" si="24"/>
        <v>0</v>
      </c>
      <c r="AG73" s="56">
        <f t="shared" si="24"/>
        <v>0</v>
      </c>
      <c r="AH73" s="56">
        <f t="shared" si="24"/>
        <v>0</v>
      </c>
      <c r="AI73" s="56">
        <f t="shared" si="24"/>
        <v>0</v>
      </c>
    </row>
    <row r="74" spans="1:35" s="5" customFormat="1" ht="18" customHeight="1" x14ac:dyDescent="0.25">
      <c r="A74" s="58" t="s">
        <v>130</v>
      </c>
      <c r="B74" s="58"/>
      <c r="C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row>
    <row r="75" spans="1:35" ht="18" customHeight="1" x14ac:dyDescent="0.2">
      <c r="A75" s="52" t="s">
        <v>49</v>
      </c>
      <c r="B75" s="52"/>
      <c r="C75" s="10"/>
      <c r="E75" s="10">
        <f>$G$30</f>
        <v>1260000</v>
      </c>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row>
    <row r="76" spans="1:35" ht="18" customHeight="1" x14ac:dyDescent="0.2">
      <c r="A76" s="91" t="s">
        <v>50</v>
      </c>
      <c r="B76" s="91"/>
      <c r="C76" s="10"/>
      <c r="E76" s="10"/>
      <c r="F76" s="10">
        <f>Principle</f>
        <v>-54133.08258369402</v>
      </c>
      <c r="G76" s="10">
        <f>Principle</f>
        <v>-57381.067538715666</v>
      </c>
      <c r="H76" s="10">
        <f t="shared" ref="H76:AI76" si="25">Principle</f>
        <v>-60823.931591038607</v>
      </c>
      <c r="I76" s="10">
        <f t="shared" si="25"/>
        <v>-64473.367486500916</v>
      </c>
      <c r="J76" s="10">
        <f t="shared" si="25"/>
        <v>-68341.769535690983</v>
      </c>
      <c r="K76" s="10">
        <f t="shared" si="25"/>
        <v>-72442.275707832436</v>
      </c>
      <c r="L76" s="10">
        <f t="shared" si="25"/>
        <v>-76788.812250302377</v>
      </c>
      <c r="M76" s="10">
        <f t="shared" si="25"/>
        <v>-81396.140985320526</v>
      </c>
      <c r="N76" s="10">
        <f t="shared" si="25"/>
        <v>-86279.909444439749</v>
      </c>
      <c r="O76" s="10">
        <f t="shared" si="25"/>
        <v>-91456.704011106136</v>
      </c>
      <c r="P76" s="10">
        <f t="shared" si="25"/>
        <v>-96944.106251772522</v>
      </c>
      <c r="Q76" s="10">
        <f t="shared" si="25"/>
        <v>-102760.75262687886</v>
      </c>
      <c r="R76" s="10">
        <f t="shared" si="25"/>
        <v>-108926.39778449159</v>
      </c>
      <c r="S76" s="10">
        <f t="shared" si="25"/>
        <v>-115461.98165156109</v>
      </c>
      <c r="T76" s="10">
        <f t="shared" si="25"/>
        <v>-122389.70055065476</v>
      </c>
      <c r="U76" s="10">
        <f t="shared" si="25"/>
        <v>0</v>
      </c>
      <c r="V76" s="10">
        <f t="shared" si="25"/>
        <v>0</v>
      </c>
      <c r="W76" s="10">
        <f t="shared" si="25"/>
        <v>0</v>
      </c>
      <c r="X76" s="10">
        <f t="shared" si="25"/>
        <v>0</v>
      </c>
      <c r="Y76" s="10">
        <f t="shared" si="25"/>
        <v>0</v>
      </c>
      <c r="Z76" s="10">
        <f t="shared" si="25"/>
        <v>0</v>
      </c>
      <c r="AA76" s="10">
        <f t="shared" si="25"/>
        <v>0</v>
      </c>
      <c r="AB76" s="10">
        <f t="shared" si="25"/>
        <v>0</v>
      </c>
      <c r="AC76" s="10">
        <f t="shared" si="25"/>
        <v>0</v>
      </c>
      <c r="AD76" s="10">
        <f t="shared" si="25"/>
        <v>0</v>
      </c>
      <c r="AE76" s="10">
        <f t="shared" si="25"/>
        <v>0</v>
      </c>
      <c r="AF76" s="10">
        <f t="shared" si="25"/>
        <v>0</v>
      </c>
      <c r="AG76" s="10">
        <f t="shared" si="25"/>
        <v>0</v>
      </c>
      <c r="AH76" s="10">
        <f t="shared" si="25"/>
        <v>0</v>
      </c>
      <c r="AI76" s="10">
        <f t="shared" si="25"/>
        <v>0</v>
      </c>
    </row>
    <row r="77" spans="1:35" ht="18" customHeight="1" x14ac:dyDescent="0.2">
      <c r="A77" s="37" t="s">
        <v>51</v>
      </c>
      <c r="B77" s="37"/>
      <c r="C77" s="10"/>
      <c r="E77" s="10">
        <f>E75+E76</f>
        <v>1260000</v>
      </c>
      <c r="F77" s="10">
        <f>F75+F76</f>
        <v>-54133.08258369402</v>
      </c>
      <c r="G77" s="10">
        <f t="shared" ref="G77:AI77" si="26">G75+G76</f>
        <v>-57381.067538715666</v>
      </c>
      <c r="H77" s="10">
        <f t="shared" si="26"/>
        <v>-60823.931591038607</v>
      </c>
      <c r="I77" s="10">
        <f t="shared" si="26"/>
        <v>-64473.367486500916</v>
      </c>
      <c r="J77" s="10">
        <f t="shared" si="26"/>
        <v>-68341.769535690983</v>
      </c>
      <c r="K77" s="10">
        <f t="shared" si="26"/>
        <v>-72442.275707832436</v>
      </c>
      <c r="L77" s="10">
        <f t="shared" si="26"/>
        <v>-76788.812250302377</v>
      </c>
      <c r="M77" s="10">
        <f t="shared" si="26"/>
        <v>-81396.140985320526</v>
      </c>
      <c r="N77" s="10">
        <f t="shared" si="26"/>
        <v>-86279.909444439749</v>
      </c>
      <c r="O77" s="10">
        <f t="shared" si="26"/>
        <v>-91456.704011106136</v>
      </c>
      <c r="P77" s="10">
        <f t="shared" si="26"/>
        <v>-96944.106251772522</v>
      </c>
      <c r="Q77" s="10">
        <f t="shared" si="26"/>
        <v>-102760.75262687886</v>
      </c>
      <c r="R77" s="10">
        <f t="shared" si="26"/>
        <v>-108926.39778449159</v>
      </c>
      <c r="S77" s="10">
        <f t="shared" si="26"/>
        <v>-115461.98165156109</v>
      </c>
      <c r="T77" s="10">
        <f t="shared" si="26"/>
        <v>-122389.70055065476</v>
      </c>
      <c r="U77" s="10">
        <f t="shared" si="26"/>
        <v>0</v>
      </c>
      <c r="V77" s="10">
        <f t="shared" si="26"/>
        <v>0</v>
      </c>
      <c r="W77" s="10">
        <f t="shared" si="26"/>
        <v>0</v>
      </c>
      <c r="X77" s="10">
        <f t="shared" si="26"/>
        <v>0</v>
      </c>
      <c r="Y77" s="10">
        <f t="shared" si="26"/>
        <v>0</v>
      </c>
      <c r="Z77" s="10">
        <f t="shared" si="26"/>
        <v>0</v>
      </c>
      <c r="AA77" s="10">
        <f t="shared" si="26"/>
        <v>0</v>
      </c>
      <c r="AB77" s="10">
        <f t="shared" si="26"/>
        <v>0</v>
      </c>
      <c r="AC77" s="10">
        <f t="shared" si="26"/>
        <v>0</v>
      </c>
      <c r="AD77" s="10">
        <f t="shared" si="26"/>
        <v>0</v>
      </c>
      <c r="AE77" s="10">
        <f t="shared" si="26"/>
        <v>0</v>
      </c>
      <c r="AF77" s="10">
        <f t="shared" si="26"/>
        <v>0</v>
      </c>
      <c r="AG77" s="10">
        <f t="shared" si="26"/>
        <v>0</v>
      </c>
      <c r="AH77" s="10">
        <f t="shared" si="26"/>
        <v>0</v>
      </c>
      <c r="AI77" s="10">
        <f t="shared" si="26"/>
        <v>0</v>
      </c>
    </row>
    <row r="78" spans="1:35" ht="18" customHeight="1" x14ac:dyDescent="0.2">
      <c r="A78" s="39"/>
      <c r="B78" s="39"/>
      <c r="C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row>
    <row r="79" spans="1:35" s="21" customFormat="1" ht="18" customHeight="1" x14ac:dyDescent="0.25">
      <c r="A79" s="92" t="s">
        <v>60</v>
      </c>
      <c r="B79" s="93"/>
      <c r="C79" s="94"/>
      <c r="D79" s="94"/>
      <c r="E79" s="94">
        <f>E68+E73+E77</f>
        <v>-840000</v>
      </c>
      <c r="F79" s="94">
        <f>F68+F73+F77</f>
        <v>57068.617416305991</v>
      </c>
      <c r="G79" s="94">
        <f t="shared" ref="G79:AI79" si="27">G68+G73+G77</f>
        <v>55262.944346306031</v>
      </c>
      <c r="H79" s="94">
        <f t="shared" si="27"/>
        <v>53451.026839563012</v>
      </c>
      <c r="I79" s="94">
        <f t="shared" si="27"/>
        <v>51632.59280350952</v>
      </c>
      <c r="J79" s="94">
        <f t="shared" si="27"/>
        <v>49807.365092901164</v>
      </c>
      <c r="K79" s="94">
        <f t="shared" si="27"/>
        <v>47975.061392180389</v>
      </c>
      <c r="L79" s="94">
        <f t="shared" si="27"/>
        <v>46135.3940951158</v>
      </c>
      <c r="M79" s="94">
        <f t="shared" si="27"/>
        <v>44288.070181651361</v>
      </c>
      <c r="N79" s="94">
        <f t="shared" si="27"/>
        <v>42432.791091899067</v>
      </c>
      <c r="O79" s="94">
        <f t="shared" si="27"/>
        <v>-29430.747402794434</v>
      </c>
      <c r="P79" s="94">
        <f t="shared" si="27"/>
        <v>38697.144668224006</v>
      </c>
      <c r="Q79" s="94">
        <f t="shared" si="27"/>
        <v>36816.151339917575</v>
      </c>
      <c r="R79" s="94">
        <f t="shared" si="27"/>
        <v>34925.950573422248</v>
      </c>
      <c r="S79" s="94">
        <f t="shared" si="27"/>
        <v>33026.214114692804</v>
      </c>
      <c r="T79" s="94">
        <f t="shared" si="27"/>
        <v>31116.607349854661</v>
      </c>
      <c r="U79" s="94">
        <f t="shared" si="27"/>
        <v>158929.87174087678</v>
      </c>
      <c r="V79" s="94">
        <f t="shared" si="27"/>
        <v>156999.49433931994</v>
      </c>
      <c r="W79" s="94">
        <f t="shared" si="27"/>
        <v>155058.20313348784</v>
      </c>
      <c r="X79" s="94">
        <f t="shared" si="27"/>
        <v>153105.63655501575</v>
      </c>
      <c r="Y79" s="94">
        <f t="shared" si="27"/>
        <v>81141.425900218834</v>
      </c>
      <c r="Z79" s="94">
        <f t="shared" si="27"/>
        <v>199640.77631669166</v>
      </c>
      <c r="AA79" s="94">
        <f t="shared" si="27"/>
        <v>202074.58669310779</v>
      </c>
      <c r="AB79" s="94">
        <f t="shared" si="27"/>
        <v>204543.14502227193</v>
      </c>
      <c r="AC79" s="94">
        <f t="shared" si="27"/>
        <v>207046.85250259395</v>
      </c>
      <c r="AD79" s="94">
        <f t="shared" si="27"/>
        <v>209586.11378994066</v>
      </c>
      <c r="AE79" s="94">
        <f t="shared" si="27"/>
        <v>0</v>
      </c>
      <c r="AF79" s="94">
        <f t="shared" si="27"/>
        <v>0</v>
      </c>
      <c r="AG79" s="94">
        <f t="shared" si="27"/>
        <v>0</v>
      </c>
      <c r="AH79" s="94">
        <f t="shared" si="27"/>
        <v>0</v>
      </c>
      <c r="AI79" s="95">
        <f t="shared" si="27"/>
        <v>0</v>
      </c>
    </row>
    <row r="80" spans="1:35" s="1" customFormat="1" ht="18" customHeight="1" x14ac:dyDescent="0.25">
      <c r="A80" s="45" t="s">
        <v>59</v>
      </c>
      <c r="B80" s="45"/>
      <c r="C80" s="42"/>
      <c r="D80" s="42"/>
      <c r="E80" s="42">
        <f>E79</f>
        <v>-840000</v>
      </c>
      <c r="F80" s="42">
        <f>E80+F79</f>
        <v>-782931.38258369407</v>
      </c>
      <c r="G80" s="42">
        <f t="shared" ref="G80:AI80" si="28">F80+G79</f>
        <v>-727668.43823738804</v>
      </c>
      <c r="H80" s="42">
        <f t="shared" si="28"/>
        <v>-674217.411397825</v>
      </c>
      <c r="I80" s="42">
        <f t="shared" si="28"/>
        <v>-622584.81859431544</v>
      </c>
      <c r="J80" s="42">
        <f t="shared" si="28"/>
        <v>-572777.45350141427</v>
      </c>
      <c r="K80" s="42">
        <f t="shared" si="28"/>
        <v>-524802.39210923389</v>
      </c>
      <c r="L80" s="42">
        <f t="shared" si="28"/>
        <v>-478666.99801411806</v>
      </c>
      <c r="M80" s="42">
        <f t="shared" si="28"/>
        <v>-434378.92783246667</v>
      </c>
      <c r="N80" s="42">
        <f t="shared" si="28"/>
        <v>-391946.13674056763</v>
      </c>
      <c r="O80" s="42">
        <f t="shared" si="28"/>
        <v>-421376.88414336205</v>
      </c>
      <c r="P80" s="42">
        <f t="shared" si="28"/>
        <v>-382679.73947513802</v>
      </c>
      <c r="Q80" s="42">
        <f t="shared" si="28"/>
        <v>-345863.58813522046</v>
      </c>
      <c r="R80" s="42">
        <f t="shared" si="28"/>
        <v>-310937.63756179821</v>
      </c>
      <c r="S80" s="42">
        <f t="shared" si="28"/>
        <v>-277911.42344710539</v>
      </c>
      <c r="T80" s="42">
        <f t="shared" si="28"/>
        <v>-246794.81609725073</v>
      </c>
      <c r="U80" s="42">
        <f t="shared" si="28"/>
        <v>-87864.944356373948</v>
      </c>
      <c r="V80" s="42">
        <f t="shared" si="28"/>
        <v>69134.549982945988</v>
      </c>
      <c r="W80" s="42">
        <f t="shared" si="28"/>
        <v>224192.75311643383</v>
      </c>
      <c r="X80" s="42">
        <f t="shared" si="28"/>
        <v>377298.38967144955</v>
      </c>
      <c r="Y80" s="42">
        <f t="shared" si="28"/>
        <v>458439.81557166838</v>
      </c>
      <c r="Z80" s="42">
        <f t="shared" si="28"/>
        <v>658080.59188835998</v>
      </c>
      <c r="AA80" s="42">
        <f t="shared" si="28"/>
        <v>860155.17858146783</v>
      </c>
      <c r="AB80" s="42">
        <f t="shared" si="28"/>
        <v>1064698.3236037397</v>
      </c>
      <c r="AC80" s="42">
        <f t="shared" si="28"/>
        <v>1271745.1761063337</v>
      </c>
      <c r="AD80" s="42">
        <f t="shared" si="28"/>
        <v>1481331.2898962745</v>
      </c>
      <c r="AE80" s="42">
        <f>AD80+AE79</f>
        <v>1481331.2898962745</v>
      </c>
      <c r="AF80" s="42">
        <f t="shared" si="28"/>
        <v>1481331.2898962745</v>
      </c>
      <c r="AG80" s="42">
        <f t="shared" si="28"/>
        <v>1481331.2898962745</v>
      </c>
      <c r="AH80" s="42">
        <f t="shared" si="28"/>
        <v>1481331.2898962745</v>
      </c>
      <c r="AI80" s="42">
        <f t="shared" si="28"/>
        <v>1481331.2898962745</v>
      </c>
    </row>
    <row r="81" spans="1:35" ht="19.5" customHeight="1" x14ac:dyDescent="0.2">
      <c r="A81" s="39"/>
      <c r="B81" s="39"/>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row>
    <row r="82" spans="1:35" s="5" customFormat="1" ht="21" customHeight="1" x14ac:dyDescent="0.4">
      <c r="A82" s="108" t="s">
        <v>131</v>
      </c>
      <c r="B82" s="96"/>
      <c r="C82" s="96"/>
      <c r="D82" s="96"/>
      <c r="E82" s="96"/>
      <c r="F82" s="96"/>
      <c r="G82" s="96"/>
      <c r="H82" s="96"/>
      <c r="I82" s="96"/>
      <c r="J82" s="96"/>
      <c r="K82" s="96"/>
      <c r="L82" s="96"/>
      <c r="M82" s="96"/>
      <c r="N82" s="96"/>
      <c r="O82" s="96"/>
      <c r="P82" s="97"/>
      <c r="Q82" s="97"/>
      <c r="R82" s="97"/>
      <c r="S82" s="97"/>
      <c r="T82" s="97"/>
      <c r="U82" s="97"/>
      <c r="V82" s="97"/>
      <c r="W82" s="97"/>
      <c r="X82" s="97"/>
      <c r="Y82" s="97"/>
      <c r="Z82" s="98"/>
      <c r="AA82" s="98"/>
      <c r="AB82" s="98"/>
      <c r="AC82" s="98"/>
      <c r="AD82" s="98"/>
      <c r="AE82" s="98"/>
      <c r="AF82" s="98"/>
      <c r="AG82" s="98"/>
      <c r="AH82" s="98"/>
      <c r="AI82" s="98"/>
    </row>
    <row r="83" spans="1:35" ht="15.75" x14ac:dyDescent="0.25">
      <c r="E83" s="9"/>
      <c r="F83" s="31" t="s">
        <v>3</v>
      </c>
      <c r="G83" s="31" t="s">
        <v>3</v>
      </c>
      <c r="H83" s="31" t="s">
        <v>3</v>
      </c>
      <c r="I83" s="31" t="s">
        <v>3</v>
      </c>
      <c r="J83" s="31" t="s">
        <v>3</v>
      </c>
      <c r="K83" s="31" t="s">
        <v>3</v>
      </c>
      <c r="L83" s="31" t="s">
        <v>3</v>
      </c>
      <c r="M83" s="31" t="s">
        <v>3</v>
      </c>
      <c r="N83" s="31" t="s">
        <v>3</v>
      </c>
      <c r="O83" s="31" t="s">
        <v>3</v>
      </c>
      <c r="P83" s="31" t="s">
        <v>3</v>
      </c>
      <c r="Q83" s="31" t="s">
        <v>3</v>
      </c>
      <c r="R83" s="31" t="s">
        <v>3</v>
      </c>
      <c r="S83" s="31" t="s">
        <v>3</v>
      </c>
      <c r="T83" s="31" t="s">
        <v>3</v>
      </c>
      <c r="U83" s="31" t="s">
        <v>3</v>
      </c>
      <c r="V83" s="31" t="s">
        <v>3</v>
      </c>
      <c r="W83" s="31" t="s">
        <v>3</v>
      </c>
      <c r="X83" s="31" t="s">
        <v>3</v>
      </c>
      <c r="Y83" s="31" t="s">
        <v>3</v>
      </c>
      <c r="Z83" s="31" t="s">
        <v>3</v>
      </c>
      <c r="AA83" s="31" t="s">
        <v>3</v>
      </c>
      <c r="AB83" s="31" t="s">
        <v>3</v>
      </c>
      <c r="AC83" s="31" t="s">
        <v>3</v>
      </c>
      <c r="AD83" s="31" t="s">
        <v>3</v>
      </c>
      <c r="AE83" s="31" t="s">
        <v>3</v>
      </c>
      <c r="AF83" s="31" t="s">
        <v>3</v>
      </c>
      <c r="AG83" s="31" t="s">
        <v>3</v>
      </c>
      <c r="AH83" s="31" t="s">
        <v>3</v>
      </c>
      <c r="AI83" s="31" t="s">
        <v>3</v>
      </c>
    </row>
    <row r="84" spans="1:35" ht="15.75" x14ac:dyDescent="0.25">
      <c r="A84" s="1"/>
      <c r="B84" s="1"/>
      <c r="E84" s="9"/>
      <c r="F84" s="51">
        <v>1</v>
      </c>
      <c r="G84" s="51">
        <v>2</v>
      </c>
      <c r="H84" s="51">
        <v>3</v>
      </c>
      <c r="I84" s="51">
        <v>4</v>
      </c>
      <c r="J84" s="51">
        <v>5</v>
      </c>
      <c r="K84" s="51">
        <v>6</v>
      </c>
      <c r="L84" s="51">
        <v>7</v>
      </c>
      <c r="M84" s="51">
        <v>8</v>
      </c>
      <c r="N84" s="51">
        <v>9</v>
      </c>
      <c r="O84" s="51">
        <v>10</v>
      </c>
      <c r="P84" s="51">
        <v>11</v>
      </c>
      <c r="Q84" s="51">
        <v>12</v>
      </c>
      <c r="R84" s="51">
        <v>13</v>
      </c>
      <c r="S84" s="51">
        <v>14</v>
      </c>
      <c r="T84" s="51">
        <v>15</v>
      </c>
      <c r="U84" s="51">
        <v>16</v>
      </c>
      <c r="V84" s="51">
        <v>17</v>
      </c>
      <c r="W84" s="51">
        <v>18</v>
      </c>
      <c r="X84" s="51">
        <v>19</v>
      </c>
      <c r="Y84" s="51">
        <v>20</v>
      </c>
      <c r="Z84" s="51">
        <v>21</v>
      </c>
      <c r="AA84" s="51">
        <v>22</v>
      </c>
      <c r="AB84" s="51">
        <v>23</v>
      </c>
      <c r="AC84" s="51">
        <v>24</v>
      </c>
      <c r="AD84" s="51">
        <v>25</v>
      </c>
      <c r="AE84" s="51">
        <v>26</v>
      </c>
      <c r="AF84" s="51">
        <v>27</v>
      </c>
      <c r="AG84" s="51">
        <v>28</v>
      </c>
      <c r="AH84" s="51">
        <v>29</v>
      </c>
      <c r="AI84" s="51">
        <v>30</v>
      </c>
    </row>
    <row r="85" spans="1:35" x14ac:dyDescent="0.2">
      <c r="A85" s="2" t="s">
        <v>41</v>
      </c>
      <c r="E85" s="9"/>
      <c r="F85" s="9">
        <f>LoanAmount</f>
        <v>1260000</v>
      </c>
      <c r="G85" s="9">
        <f>F89</f>
        <v>1205866.917416306</v>
      </c>
      <c r="H85" s="9">
        <f t="shared" ref="H85:AI85" si="29">G89</f>
        <v>1148485.8498775903</v>
      </c>
      <c r="I85" s="9">
        <f t="shared" si="29"/>
        <v>1087661.9182865517</v>
      </c>
      <c r="J85" s="9">
        <f t="shared" si="29"/>
        <v>1023188.5508000508</v>
      </c>
      <c r="K85" s="9">
        <f t="shared" si="29"/>
        <v>954846.78126435983</v>
      </c>
      <c r="L85" s="9">
        <f t="shared" si="29"/>
        <v>882404.50555652741</v>
      </c>
      <c r="M85" s="9">
        <f t="shared" si="29"/>
        <v>805615.693306225</v>
      </c>
      <c r="N85" s="9">
        <f t="shared" si="29"/>
        <v>724219.55232090445</v>
      </c>
      <c r="O85" s="9">
        <f t="shared" si="29"/>
        <v>637939.64287646464</v>
      </c>
      <c r="P85" s="9">
        <f t="shared" si="29"/>
        <v>546482.93886535848</v>
      </c>
      <c r="Q85" s="9">
        <f t="shared" si="29"/>
        <v>449538.83261358598</v>
      </c>
      <c r="R85" s="9">
        <f t="shared" si="29"/>
        <v>346778.07998670713</v>
      </c>
      <c r="S85" s="9">
        <f t="shared" si="29"/>
        <v>237851.68220221554</v>
      </c>
      <c r="T85" s="9">
        <f t="shared" si="29"/>
        <v>122389.70055065445</v>
      </c>
      <c r="U85" s="9">
        <f t="shared" si="29"/>
        <v>-3.0559021979570389E-10</v>
      </c>
      <c r="V85" s="9">
        <f t="shared" si="29"/>
        <v>-3.0559021979570389E-10</v>
      </c>
      <c r="W85" s="9">
        <f t="shared" si="29"/>
        <v>-3.0559021979570389E-10</v>
      </c>
      <c r="X85" s="9">
        <f t="shared" si="29"/>
        <v>-3.0559021979570389E-10</v>
      </c>
      <c r="Y85" s="9">
        <f t="shared" si="29"/>
        <v>-3.0559021979570389E-10</v>
      </c>
      <c r="Z85" s="9">
        <f t="shared" si="29"/>
        <v>-3.0559021979570389E-10</v>
      </c>
      <c r="AA85" s="9">
        <f t="shared" si="29"/>
        <v>-3.0559021979570389E-10</v>
      </c>
      <c r="AB85" s="9">
        <f t="shared" si="29"/>
        <v>-3.0559021979570389E-10</v>
      </c>
      <c r="AC85" s="9">
        <f t="shared" si="29"/>
        <v>-3.0559021979570389E-10</v>
      </c>
      <c r="AD85" s="9">
        <f t="shared" si="29"/>
        <v>-3.0559021979570389E-10</v>
      </c>
      <c r="AE85" s="9">
        <f t="shared" si="29"/>
        <v>-3.0559021979570389E-10</v>
      </c>
      <c r="AF85" s="9">
        <f t="shared" si="29"/>
        <v>-3.0559021979570389E-10</v>
      </c>
      <c r="AG85" s="9">
        <f t="shared" si="29"/>
        <v>-3.0559021979570389E-10</v>
      </c>
      <c r="AH85" s="9">
        <f t="shared" si="29"/>
        <v>-3.0559021979570389E-10</v>
      </c>
      <c r="AI85" s="9">
        <f t="shared" si="29"/>
        <v>-3.0559021979570389E-10</v>
      </c>
    </row>
    <row r="86" spans="1:35" x14ac:dyDescent="0.2">
      <c r="A86" s="2" t="s">
        <v>42</v>
      </c>
      <c r="E86" s="9"/>
      <c r="F86" s="9">
        <f t="shared" ref="F86:AI86" si="30">IF(ProjectYear&lt;=LoanTerm,PMT(LoanInterest,LoanTerm,LoanAmount),0)</f>
        <v>-129733.08258369402</v>
      </c>
      <c r="G86" s="9">
        <f t="shared" si="30"/>
        <v>-129733.08258369402</v>
      </c>
      <c r="H86" s="9">
        <f t="shared" si="30"/>
        <v>-129733.08258369402</v>
      </c>
      <c r="I86" s="9">
        <f t="shared" si="30"/>
        <v>-129733.08258369402</v>
      </c>
      <c r="J86" s="9">
        <f t="shared" si="30"/>
        <v>-129733.08258369402</v>
      </c>
      <c r="K86" s="9">
        <f t="shared" si="30"/>
        <v>-129733.08258369402</v>
      </c>
      <c r="L86" s="9">
        <f t="shared" si="30"/>
        <v>-129733.08258369402</v>
      </c>
      <c r="M86" s="9">
        <f t="shared" si="30"/>
        <v>-129733.08258369402</v>
      </c>
      <c r="N86" s="9">
        <f t="shared" si="30"/>
        <v>-129733.08258369402</v>
      </c>
      <c r="O86" s="9">
        <f t="shared" si="30"/>
        <v>-129733.08258369402</v>
      </c>
      <c r="P86" s="9">
        <f t="shared" si="30"/>
        <v>-129733.08258369402</v>
      </c>
      <c r="Q86" s="9">
        <f t="shared" si="30"/>
        <v>-129733.08258369402</v>
      </c>
      <c r="R86" s="9">
        <f t="shared" si="30"/>
        <v>-129733.08258369402</v>
      </c>
      <c r="S86" s="9">
        <f t="shared" si="30"/>
        <v>-129733.08258369402</v>
      </c>
      <c r="T86" s="9">
        <f t="shared" si="30"/>
        <v>-129733.08258369402</v>
      </c>
      <c r="U86" s="9">
        <f t="shared" si="30"/>
        <v>0</v>
      </c>
      <c r="V86" s="9">
        <f t="shared" si="30"/>
        <v>0</v>
      </c>
      <c r="W86" s="9">
        <f t="shared" si="30"/>
        <v>0</v>
      </c>
      <c r="X86" s="9">
        <f t="shared" si="30"/>
        <v>0</v>
      </c>
      <c r="Y86" s="9">
        <f t="shared" si="30"/>
        <v>0</v>
      </c>
      <c r="Z86" s="9">
        <f t="shared" si="30"/>
        <v>0</v>
      </c>
      <c r="AA86" s="9">
        <f t="shared" si="30"/>
        <v>0</v>
      </c>
      <c r="AB86" s="9">
        <f t="shared" si="30"/>
        <v>0</v>
      </c>
      <c r="AC86" s="9">
        <f t="shared" si="30"/>
        <v>0</v>
      </c>
      <c r="AD86" s="9">
        <f t="shared" si="30"/>
        <v>0</v>
      </c>
      <c r="AE86" s="9">
        <f t="shared" si="30"/>
        <v>0</v>
      </c>
      <c r="AF86" s="9">
        <f t="shared" si="30"/>
        <v>0</v>
      </c>
      <c r="AG86" s="9">
        <f t="shared" si="30"/>
        <v>0</v>
      </c>
      <c r="AH86" s="9">
        <f t="shared" si="30"/>
        <v>0</v>
      </c>
      <c r="AI86" s="9">
        <f t="shared" si="30"/>
        <v>0</v>
      </c>
    </row>
    <row r="87" spans="1:35" x14ac:dyDescent="0.2">
      <c r="A87" s="2" t="s">
        <v>43</v>
      </c>
      <c r="E87" s="9"/>
      <c r="F87" s="9">
        <f t="shared" ref="F87:AI87" si="31">DebtService-Interest</f>
        <v>-54133.08258369402</v>
      </c>
      <c r="G87" s="9">
        <f t="shared" si="31"/>
        <v>-57381.067538715666</v>
      </c>
      <c r="H87" s="9">
        <f t="shared" si="31"/>
        <v>-60823.931591038607</v>
      </c>
      <c r="I87" s="9">
        <f t="shared" si="31"/>
        <v>-64473.367486500916</v>
      </c>
      <c r="J87" s="9">
        <f t="shared" si="31"/>
        <v>-68341.769535690983</v>
      </c>
      <c r="K87" s="9">
        <f t="shared" si="31"/>
        <v>-72442.275707832436</v>
      </c>
      <c r="L87" s="9">
        <f t="shared" si="31"/>
        <v>-76788.812250302377</v>
      </c>
      <c r="M87" s="9">
        <f t="shared" si="31"/>
        <v>-81396.140985320526</v>
      </c>
      <c r="N87" s="9">
        <f t="shared" si="31"/>
        <v>-86279.909444439749</v>
      </c>
      <c r="O87" s="9">
        <f t="shared" si="31"/>
        <v>-91456.704011106136</v>
      </c>
      <c r="P87" s="9">
        <f t="shared" si="31"/>
        <v>-96944.106251772522</v>
      </c>
      <c r="Q87" s="9">
        <f t="shared" si="31"/>
        <v>-102760.75262687886</v>
      </c>
      <c r="R87" s="9">
        <f t="shared" si="31"/>
        <v>-108926.39778449159</v>
      </c>
      <c r="S87" s="9">
        <f t="shared" si="31"/>
        <v>-115461.98165156109</v>
      </c>
      <c r="T87" s="9">
        <f t="shared" si="31"/>
        <v>-122389.70055065476</v>
      </c>
      <c r="U87" s="9">
        <f t="shared" si="31"/>
        <v>0</v>
      </c>
      <c r="V87" s="9">
        <f t="shared" si="31"/>
        <v>0</v>
      </c>
      <c r="W87" s="9">
        <f t="shared" si="31"/>
        <v>0</v>
      </c>
      <c r="X87" s="9">
        <f t="shared" si="31"/>
        <v>0</v>
      </c>
      <c r="Y87" s="9">
        <f t="shared" si="31"/>
        <v>0</v>
      </c>
      <c r="Z87" s="9">
        <f t="shared" si="31"/>
        <v>0</v>
      </c>
      <c r="AA87" s="9">
        <f t="shared" si="31"/>
        <v>0</v>
      </c>
      <c r="AB87" s="9">
        <f t="shared" si="31"/>
        <v>0</v>
      </c>
      <c r="AC87" s="9">
        <f t="shared" si="31"/>
        <v>0</v>
      </c>
      <c r="AD87" s="9">
        <f t="shared" si="31"/>
        <v>0</v>
      </c>
      <c r="AE87" s="9">
        <f t="shared" si="31"/>
        <v>0</v>
      </c>
      <c r="AF87" s="9">
        <f t="shared" si="31"/>
        <v>0</v>
      </c>
      <c r="AG87" s="9">
        <f t="shared" si="31"/>
        <v>0</v>
      </c>
      <c r="AH87" s="9">
        <f t="shared" si="31"/>
        <v>0</v>
      </c>
      <c r="AI87" s="9">
        <f t="shared" si="31"/>
        <v>0</v>
      </c>
    </row>
    <row r="88" spans="1:35" x14ac:dyDescent="0.2">
      <c r="A88" s="2" t="s">
        <v>44</v>
      </c>
      <c r="E88" s="9"/>
      <c r="F88" s="9">
        <f t="shared" ref="F88:AI88" si="32">IF(ProjectYear&lt;=LoanTerm,-BegLoanBal*LoanInterest,0)</f>
        <v>-75600</v>
      </c>
      <c r="G88" s="9">
        <f t="shared" si="32"/>
        <v>-72352.015044978354</v>
      </c>
      <c r="H88" s="9">
        <f t="shared" si="32"/>
        <v>-68909.150992655414</v>
      </c>
      <c r="I88" s="9">
        <f t="shared" si="32"/>
        <v>-65259.715097193104</v>
      </c>
      <c r="J88" s="9">
        <f t="shared" si="32"/>
        <v>-61391.313048003045</v>
      </c>
      <c r="K88" s="9">
        <f t="shared" si="32"/>
        <v>-57290.806875861585</v>
      </c>
      <c r="L88" s="9">
        <f t="shared" si="32"/>
        <v>-52944.270333391643</v>
      </c>
      <c r="M88" s="9">
        <f t="shared" si="32"/>
        <v>-48336.941598373502</v>
      </c>
      <c r="N88" s="9">
        <f t="shared" si="32"/>
        <v>-43453.173139254264</v>
      </c>
      <c r="O88" s="9">
        <f t="shared" si="32"/>
        <v>-38276.378572587877</v>
      </c>
      <c r="P88" s="9">
        <f t="shared" si="32"/>
        <v>-32788.976331921505</v>
      </c>
      <c r="Q88" s="9">
        <f t="shared" si="32"/>
        <v>-26972.32995681516</v>
      </c>
      <c r="R88" s="9">
        <f t="shared" si="32"/>
        <v>-20806.684799202427</v>
      </c>
      <c r="S88" s="9">
        <f t="shared" si="32"/>
        <v>-14271.100932132931</v>
      </c>
      <c r="T88" s="9">
        <f t="shared" si="32"/>
        <v>-7343.3820330392673</v>
      </c>
      <c r="U88" s="9">
        <f t="shared" si="32"/>
        <v>0</v>
      </c>
      <c r="V88" s="9">
        <f t="shared" si="32"/>
        <v>0</v>
      </c>
      <c r="W88" s="9">
        <f t="shared" si="32"/>
        <v>0</v>
      </c>
      <c r="X88" s="9">
        <f t="shared" si="32"/>
        <v>0</v>
      </c>
      <c r="Y88" s="9">
        <f t="shared" si="32"/>
        <v>0</v>
      </c>
      <c r="Z88" s="9">
        <f t="shared" si="32"/>
        <v>0</v>
      </c>
      <c r="AA88" s="9">
        <f t="shared" si="32"/>
        <v>0</v>
      </c>
      <c r="AB88" s="9">
        <f t="shared" si="32"/>
        <v>0</v>
      </c>
      <c r="AC88" s="9">
        <f t="shared" si="32"/>
        <v>0</v>
      </c>
      <c r="AD88" s="9">
        <f t="shared" si="32"/>
        <v>0</v>
      </c>
      <c r="AE88" s="9">
        <f t="shared" si="32"/>
        <v>0</v>
      </c>
      <c r="AF88" s="9">
        <f t="shared" si="32"/>
        <v>0</v>
      </c>
      <c r="AG88" s="9">
        <f t="shared" si="32"/>
        <v>0</v>
      </c>
      <c r="AH88" s="9">
        <f t="shared" si="32"/>
        <v>0</v>
      </c>
      <c r="AI88" s="9">
        <f t="shared" si="32"/>
        <v>0</v>
      </c>
    </row>
    <row r="89" spans="1:35" s="1" customFormat="1" ht="15.75" x14ac:dyDescent="0.25">
      <c r="A89" s="1" t="s">
        <v>45</v>
      </c>
      <c r="C89" s="60"/>
      <c r="E89" s="60"/>
      <c r="F89" s="60">
        <f t="shared" ref="F89:AI89" si="33">BegLoanBal+Principle</f>
        <v>1205866.917416306</v>
      </c>
      <c r="G89" s="60">
        <f t="shared" si="33"/>
        <v>1148485.8498775903</v>
      </c>
      <c r="H89" s="60">
        <f t="shared" si="33"/>
        <v>1087661.9182865517</v>
      </c>
      <c r="I89" s="60">
        <f t="shared" si="33"/>
        <v>1023188.5508000508</v>
      </c>
      <c r="J89" s="60">
        <f t="shared" si="33"/>
        <v>954846.78126435983</v>
      </c>
      <c r="K89" s="60">
        <f t="shared" si="33"/>
        <v>882404.50555652741</v>
      </c>
      <c r="L89" s="60">
        <f t="shared" si="33"/>
        <v>805615.693306225</v>
      </c>
      <c r="M89" s="60">
        <f t="shared" si="33"/>
        <v>724219.55232090445</v>
      </c>
      <c r="N89" s="60">
        <f t="shared" si="33"/>
        <v>637939.64287646464</v>
      </c>
      <c r="O89" s="60">
        <f t="shared" si="33"/>
        <v>546482.93886535848</v>
      </c>
      <c r="P89" s="60">
        <f t="shared" si="33"/>
        <v>449538.83261358598</v>
      </c>
      <c r="Q89" s="60">
        <f t="shared" si="33"/>
        <v>346778.07998670713</v>
      </c>
      <c r="R89" s="60">
        <f t="shared" si="33"/>
        <v>237851.68220221554</v>
      </c>
      <c r="S89" s="60">
        <f t="shared" si="33"/>
        <v>122389.70055065445</v>
      </c>
      <c r="T89" s="60">
        <f t="shared" si="33"/>
        <v>-3.0559021979570389E-10</v>
      </c>
      <c r="U89" s="60">
        <f t="shared" si="33"/>
        <v>-3.0559021979570389E-10</v>
      </c>
      <c r="V89" s="60">
        <f t="shared" si="33"/>
        <v>-3.0559021979570389E-10</v>
      </c>
      <c r="W89" s="60">
        <f t="shared" si="33"/>
        <v>-3.0559021979570389E-10</v>
      </c>
      <c r="X89" s="60">
        <f t="shared" si="33"/>
        <v>-3.0559021979570389E-10</v>
      </c>
      <c r="Y89" s="60">
        <f t="shared" si="33"/>
        <v>-3.0559021979570389E-10</v>
      </c>
      <c r="Z89" s="60">
        <f t="shared" si="33"/>
        <v>-3.0559021979570389E-10</v>
      </c>
      <c r="AA89" s="60">
        <f t="shared" si="33"/>
        <v>-3.0559021979570389E-10</v>
      </c>
      <c r="AB89" s="60">
        <f t="shared" si="33"/>
        <v>-3.0559021979570389E-10</v>
      </c>
      <c r="AC89" s="60">
        <f t="shared" si="33"/>
        <v>-3.0559021979570389E-10</v>
      </c>
      <c r="AD89" s="60">
        <f t="shared" si="33"/>
        <v>-3.0559021979570389E-10</v>
      </c>
      <c r="AE89" s="60">
        <f t="shared" si="33"/>
        <v>-3.0559021979570389E-10</v>
      </c>
      <c r="AF89" s="60">
        <f t="shared" si="33"/>
        <v>-3.0559021979570389E-10</v>
      </c>
      <c r="AG89" s="60">
        <f t="shared" si="33"/>
        <v>-3.0559021979570389E-10</v>
      </c>
      <c r="AH89" s="60">
        <f t="shared" si="33"/>
        <v>-3.0559021979570389E-10</v>
      </c>
      <c r="AI89" s="60">
        <f t="shared" si="33"/>
        <v>-3.0559021979570389E-10</v>
      </c>
    </row>
    <row r="90" spans="1:35" s="1" customFormat="1" ht="15.75" x14ac:dyDescent="0.25">
      <c r="C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row>
    <row r="91" spans="1:35" s="21" customFormat="1" ht="23.25" x14ac:dyDescent="0.35">
      <c r="A91" s="156" t="s">
        <v>136</v>
      </c>
      <c r="B91" s="135"/>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row>
    <row r="92" spans="1:35" s="5" customFormat="1" ht="17.25" customHeight="1" x14ac:dyDescent="0.3">
      <c r="A92" s="157" t="s">
        <v>68</v>
      </c>
      <c r="B92" s="141"/>
      <c r="C92" s="122"/>
      <c r="D92" s="137"/>
      <c r="E92" s="122"/>
      <c r="F92" s="142"/>
      <c r="G92" s="143"/>
      <c r="H92" s="143"/>
      <c r="I92" s="143"/>
      <c r="J92" s="143"/>
      <c r="K92" s="143"/>
      <c r="L92" s="143"/>
      <c r="M92" s="143"/>
      <c r="N92" s="143"/>
      <c r="O92" s="143"/>
      <c r="P92" s="143"/>
      <c r="Q92" s="143"/>
      <c r="R92" s="143"/>
      <c r="S92" s="143"/>
      <c r="T92" s="143"/>
      <c r="U92" s="143"/>
      <c r="V92" s="133"/>
      <c r="W92" s="143"/>
      <c r="X92" s="143"/>
      <c r="Y92" s="143"/>
      <c r="Z92" s="143"/>
      <c r="AA92" s="143"/>
      <c r="AB92" s="143"/>
      <c r="AC92" s="143"/>
      <c r="AD92" s="143"/>
      <c r="AE92" s="143"/>
      <c r="AF92" s="143"/>
      <c r="AG92" s="143"/>
      <c r="AH92" s="143"/>
      <c r="AI92" s="143"/>
    </row>
    <row r="93" spans="1:35" s="5" customFormat="1" ht="18" customHeight="1" x14ac:dyDescent="0.25">
      <c r="A93" s="144" t="s">
        <v>52</v>
      </c>
      <c r="B93" s="144"/>
      <c r="C93" s="122"/>
      <c r="D93" s="137"/>
      <c r="E93" s="122"/>
      <c r="F93" s="145"/>
      <c r="G93" s="143"/>
      <c r="H93" s="143"/>
      <c r="I93" s="143"/>
      <c r="J93" s="143"/>
      <c r="K93" s="143"/>
      <c r="L93" s="143"/>
      <c r="M93" s="143"/>
      <c r="N93" s="143"/>
      <c r="O93" s="143"/>
      <c r="P93" s="143"/>
      <c r="Q93" s="143"/>
      <c r="R93" s="143"/>
      <c r="S93" s="143"/>
      <c r="T93" s="143"/>
      <c r="U93" s="143"/>
      <c r="V93" s="133"/>
      <c r="W93" s="143"/>
      <c r="X93" s="143"/>
      <c r="Y93" s="143"/>
      <c r="Z93" s="143"/>
      <c r="AA93" s="143"/>
      <c r="AB93" s="143"/>
      <c r="AC93" s="143"/>
      <c r="AD93" s="143"/>
      <c r="AE93" s="143"/>
      <c r="AF93" s="143"/>
      <c r="AG93" s="143"/>
      <c r="AH93" s="143"/>
      <c r="AI93" s="143"/>
    </row>
    <row r="94" spans="1:35" s="5" customFormat="1" ht="18" customHeight="1" x14ac:dyDescent="0.25">
      <c r="A94" s="146" t="s">
        <v>111</v>
      </c>
      <c r="B94" s="146"/>
      <c r="C94" s="122"/>
      <c r="D94" s="137"/>
      <c r="E94" s="122"/>
      <c r="F94" s="133">
        <f t="shared" ref="F94:AI94" si="34">Generation*F$47*elecRev*(1+ElecRevAdj)^E$44</f>
        <v>0</v>
      </c>
      <c r="G94" s="133">
        <f t="shared" si="34"/>
        <v>0</v>
      </c>
      <c r="H94" s="133">
        <f t="shared" si="34"/>
        <v>0</v>
      </c>
      <c r="I94" s="133">
        <f t="shared" si="34"/>
        <v>0</v>
      </c>
      <c r="J94" s="133">
        <f t="shared" si="34"/>
        <v>0</v>
      </c>
      <c r="K94" s="133">
        <f t="shared" si="34"/>
        <v>0</v>
      </c>
      <c r="L94" s="133">
        <f t="shared" si="34"/>
        <v>0</v>
      </c>
      <c r="M94" s="133">
        <f t="shared" si="34"/>
        <v>0</v>
      </c>
      <c r="N94" s="133">
        <f t="shared" si="34"/>
        <v>0</v>
      </c>
      <c r="O94" s="133">
        <f t="shared" si="34"/>
        <v>0</v>
      </c>
      <c r="P94" s="133">
        <f t="shared" si="34"/>
        <v>0</v>
      </c>
      <c r="Q94" s="133">
        <f t="shared" si="34"/>
        <v>0</v>
      </c>
      <c r="R94" s="133">
        <f t="shared" si="34"/>
        <v>0</v>
      </c>
      <c r="S94" s="133">
        <f t="shared" si="34"/>
        <v>0</v>
      </c>
      <c r="T94" s="133">
        <f t="shared" si="34"/>
        <v>0</v>
      </c>
      <c r="U94" s="133">
        <f t="shared" si="34"/>
        <v>0</v>
      </c>
      <c r="V94" s="133">
        <f t="shared" si="34"/>
        <v>0</v>
      </c>
      <c r="W94" s="133">
        <f t="shared" si="34"/>
        <v>0</v>
      </c>
      <c r="X94" s="133">
        <f t="shared" si="34"/>
        <v>0</v>
      </c>
      <c r="Y94" s="133">
        <f t="shared" si="34"/>
        <v>0</v>
      </c>
      <c r="Z94" s="133">
        <f t="shared" si="34"/>
        <v>0</v>
      </c>
      <c r="AA94" s="133">
        <f t="shared" si="34"/>
        <v>0</v>
      </c>
      <c r="AB94" s="133">
        <f t="shared" si="34"/>
        <v>0</v>
      </c>
      <c r="AC94" s="133">
        <f t="shared" si="34"/>
        <v>0</v>
      </c>
      <c r="AD94" s="133">
        <f t="shared" si="34"/>
        <v>0</v>
      </c>
      <c r="AE94" s="133">
        <f t="shared" si="34"/>
        <v>0</v>
      </c>
      <c r="AF94" s="133">
        <f t="shared" si="34"/>
        <v>0</v>
      </c>
      <c r="AG94" s="133">
        <f t="shared" si="34"/>
        <v>0</v>
      </c>
      <c r="AH94" s="133">
        <f t="shared" si="34"/>
        <v>0</v>
      </c>
      <c r="AI94" s="133">
        <f t="shared" si="34"/>
        <v>0</v>
      </c>
    </row>
    <row r="95" spans="1:35" s="5" customFormat="1" ht="18" customHeight="1" x14ac:dyDescent="0.25">
      <c r="A95" s="146" t="s">
        <v>124</v>
      </c>
      <c r="B95" s="146"/>
      <c r="C95" s="122"/>
      <c r="D95" s="137"/>
      <c r="E95" s="122"/>
      <c r="F95" s="133">
        <f t="shared" ref="F95:AI95" si="35">IF($B$27&gt;=F$44,Generation*F$47*$B$26,F$94)</f>
        <v>0</v>
      </c>
      <c r="G95" s="133">
        <f t="shared" si="35"/>
        <v>0</v>
      </c>
      <c r="H95" s="133">
        <f t="shared" si="35"/>
        <v>0</v>
      </c>
      <c r="I95" s="133">
        <f t="shared" si="35"/>
        <v>0</v>
      </c>
      <c r="J95" s="133">
        <f t="shared" si="35"/>
        <v>0</v>
      </c>
      <c r="K95" s="133">
        <f t="shared" si="35"/>
        <v>0</v>
      </c>
      <c r="L95" s="133">
        <f t="shared" si="35"/>
        <v>0</v>
      </c>
      <c r="M95" s="133">
        <f t="shared" si="35"/>
        <v>0</v>
      </c>
      <c r="N95" s="133">
        <f t="shared" si="35"/>
        <v>0</v>
      </c>
      <c r="O95" s="133">
        <f t="shared" si="35"/>
        <v>0</v>
      </c>
      <c r="P95" s="133">
        <f t="shared" si="35"/>
        <v>0</v>
      </c>
      <c r="Q95" s="133">
        <f t="shared" si="35"/>
        <v>0</v>
      </c>
      <c r="R95" s="133">
        <f t="shared" si="35"/>
        <v>0</v>
      </c>
      <c r="S95" s="133">
        <f t="shared" si="35"/>
        <v>0</v>
      </c>
      <c r="T95" s="133">
        <f t="shared" si="35"/>
        <v>0</v>
      </c>
      <c r="U95" s="133">
        <f t="shared" si="35"/>
        <v>0</v>
      </c>
      <c r="V95" s="133">
        <f t="shared" si="35"/>
        <v>0</v>
      </c>
      <c r="W95" s="133">
        <f t="shared" si="35"/>
        <v>0</v>
      </c>
      <c r="X95" s="133">
        <f t="shared" si="35"/>
        <v>0</v>
      </c>
      <c r="Y95" s="133">
        <f t="shared" si="35"/>
        <v>0</v>
      </c>
      <c r="Z95" s="133">
        <f t="shared" si="35"/>
        <v>0</v>
      </c>
      <c r="AA95" s="133">
        <f t="shared" si="35"/>
        <v>0</v>
      </c>
      <c r="AB95" s="133">
        <f t="shared" si="35"/>
        <v>0</v>
      </c>
      <c r="AC95" s="133">
        <f t="shared" si="35"/>
        <v>0</v>
      </c>
      <c r="AD95" s="133">
        <f t="shared" si="35"/>
        <v>0</v>
      </c>
      <c r="AE95" s="133">
        <f t="shared" si="35"/>
        <v>0</v>
      </c>
      <c r="AF95" s="133">
        <f t="shared" si="35"/>
        <v>0</v>
      </c>
      <c r="AG95" s="133">
        <f t="shared" si="35"/>
        <v>0</v>
      </c>
      <c r="AH95" s="133">
        <f t="shared" si="35"/>
        <v>0</v>
      </c>
      <c r="AI95" s="133">
        <f t="shared" si="35"/>
        <v>0</v>
      </c>
    </row>
    <row r="96" spans="1:35" s="5" customFormat="1" ht="18" customHeight="1" x14ac:dyDescent="0.25">
      <c r="A96" s="147" t="s">
        <v>15</v>
      </c>
      <c r="B96" s="147"/>
      <c r="C96" s="148"/>
      <c r="D96" s="137"/>
      <c r="E96" s="122"/>
      <c r="F96" s="122">
        <f t="shared" ref="F96:AI96" si="36">IF(F$44&gt;$B$27,$B$28*F$47*F$45/1000,0)</f>
        <v>0</v>
      </c>
      <c r="G96" s="122">
        <f t="shared" si="36"/>
        <v>0</v>
      </c>
      <c r="H96" s="122">
        <f t="shared" si="36"/>
        <v>0</v>
      </c>
      <c r="I96" s="122">
        <f t="shared" si="36"/>
        <v>0</v>
      </c>
      <c r="J96" s="122">
        <f t="shared" si="36"/>
        <v>0</v>
      </c>
      <c r="K96" s="122">
        <f t="shared" si="36"/>
        <v>0</v>
      </c>
      <c r="L96" s="122">
        <f t="shared" si="36"/>
        <v>0</v>
      </c>
      <c r="M96" s="122">
        <f t="shared" si="36"/>
        <v>0</v>
      </c>
      <c r="N96" s="122">
        <f t="shared" si="36"/>
        <v>0</v>
      </c>
      <c r="O96" s="122">
        <f t="shared" si="36"/>
        <v>0</v>
      </c>
      <c r="P96" s="122">
        <f t="shared" si="36"/>
        <v>0</v>
      </c>
      <c r="Q96" s="122">
        <f t="shared" si="36"/>
        <v>0</v>
      </c>
      <c r="R96" s="122">
        <f t="shared" si="36"/>
        <v>0</v>
      </c>
      <c r="S96" s="122">
        <f t="shared" si="36"/>
        <v>0</v>
      </c>
      <c r="T96" s="122">
        <f t="shared" si="36"/>
        <v>0</v>
      </c>
      <c r="U96" s="122">
        <f t="shared" si="36"/>
        <v>0</v>
      </c>
      <c r="V96" s="122">
        <f t="shared" si="36"/>
        <v>0</v>
      </c>
      <c r="W96" s="122">
        <f t="shared" si="36"/>
        <v>0</v>
      </c>
      <c r="X96" s="122">
        <f t="shared" si="36"/>
        <v>0</v>
      </c>
      <c r="Y96" s="122">
        <f t="shared" si="36"/>
        <v>0</v>
      </c>
      <c r="Z96" s="122">
        <f t="shared" si="36"/>
        <v>0</v>
      </c>
      <c r="AA96" s="122">
        <f t="shared" si="36"/>
        <v>0</v>
      </c>
      <c r="AB96" s="122">
        <f t="shared" si="36"/>
        <v>0</v>
      </c>
      <c r="AC96" s="122">
        <f t="shared" si="36"/>
        <v>0</v>
      </c>
      <c r="AD96" s="122">
        <f t="shared" si="36"/>
        <v>0</v>
      </c>
      <c r="AE96" s="122">
        <f t="shared" si="36"/>
        <v>0</v>
      </c>
      <c r="AF96" s="122">
        <f t="shared" si="36"/>
        <v>0</v>
      </c>
      <c r="AG96" s="122">
        <f t="shared" si="36"/>
        <v>0</v>
      </c>
      <c r="AH96" s="122">
        <f t="shared" si="36"/>
        <v>0</v>
      </c>
      <c r="AI96" s="122">
        <f t="shared" si="36"/>
        <v>0</v>
      </c>
    </row>
    <row r="97" spans="1:35" s="5" customFormat="1" ht="18" customHeight="1" x14ac:dyDescent="0.25">
      <c r="A97" s="146" t="s">
        <v>97</v>
      </c>
      <c r="B97" s="146"/>
      <c r="C97" s="122"/>
      <c r="D97" s="137"/>
      <c r="E97" s="122"/>
      <c r="F97" s="133">
        <f t="shared" ref="F97:AI97" si="37">-($B$36*F94)*F$47</f>
        <v>0</v>
      </c>
      <c r="G97" s="133">
        <f t="shared" si="37"/>
        <v>0</v>
      </c>
      <c r="H97" s="133">
        <f t="shared" si="37"/>
        <v>0</v>
      </c>
      <c r="I97" s="133">
        <f t="shared" si="37"/>
        <v>0</v>
      </c>
      <c r="J97" s="133">
        <f t="shared" si="37"/>
        <v>0</v>
      </c>
      <c r="K97" s="133">
        <f t="shared" si="37"/>
        <v>0</v>
      </c>
      <c r="L97" s="133">
        <f t="shared" si="37"/>
        <v>0</v>
      </c>
      <c r="M97" s="133">
        <f t="shared" si="37"/>
        <v>0</v>
      </c>
      <c r="N97" s="133">
        <f t="shared" si="37"/>
        <v>0</v>
      </c>
      <c r="O97" s="133">
        <f t="shared" si="37"/>
        <v>0</v>
      </c>
      <c r="P97" s="133">
        <f t="shared" si="37"/>
        <v>0</v>
      </c>
      <c r="Q97" s="133">
        <f t="shared" si="37"/>
        <v>0</v>
      </c>
      <c r="R97" s="133">
        <f t="shared" si="37"/>
        <v>0</v>
      </c>
      <c r="S97" s="133">
        <f t="shared" si="37"/>
        <v>0</v>
      </c>
      <c r="T97" s="133">
        <f t="shared" si="37"/>
        <v>0</v>
      </c>
      <c r="U97" s="133">
        <f t="shared" si="37"/>
        <v>0</v>
      </c>
      <c r="V97" s="133">
        <f t="shared" si="37"/>
        <v>0</v>
      </c>
      <c r="W97" s="133">
        <f t="shared" si="37"/>
        <v>0</v>
      </c>
      <c r="X97" s="133">
        <f t="shared" si="37"/>
        <v>0</v>
      </c>
      <c r="Y97" s="133">
        <f t="shared" si="37"/>
        <v>0</v>
      </c>
      <c r="Z97" s="133">
        <f t="shared" si="37"/>
        <v>0</v>
      </c>
      <c r="AA97" s="133">
        <f t="shared" si="37"/>
        <v>0</v>
      </c>
      <c r="AB97" s="133">
        <f t="shared" si="37"/>
        <v>0</v>
      </c>
      <c r="AC97" s="133">
        <f t="shared" si="37"/>
        <v>0</v>
      </c>
      <c r="AD97" s="133">
        <f t="shared" si="37"/>
        <v>0</v>
      </c>
      <c r="AE97" s="133">
        <f t="shared" si="37"/>
        <v>0</v>
      </c>
      <c r="AF97" s="133">
        <f t="shared" si="37"/>
        <v>0</v>
      </c>
      <c r="AG97" s="133">
        <f t="shared" si="37"/>
        <v>0</v>
      </c>
      <c r="AH97" s="133">
        <f t="shared" si="37"/>
        <v>0</v>
      </c>
      <c r="AI97" s="133">
        <f t="shared" si="37"/>
        <v>0</v>
      </c>
    </row>
    <row r="98" spans="1:35" s="5" customFormat="1" ht="18" customHeight="1" x14ac:dyDescent="0.25">
      <c r="A98" s="132" t="s">
        <v>108</v>
      </c>
      <c r="B98" s="146"/>
      <c r="C98" s="122"/>
      <c r="D98" s="137"/>
      <c r="E98" s="133"/>
      <c r="F98" s="133">
        <f t="shared" ref="F98:AI98" si="38">IF(F$44&lt;=projectlife,-$B$38*F$47,0)</f>
        <v>0</v>
      </c>
      <c r="G98" s="133">
        <f t="shared" si="38"/>
        <v>0</v>
      </c>
      <c r="H98" s="133">
        <f t="shared" si="38"/>
        <v>0</v>
      </c>
      <c r="I98" s="133">
        <f t="shared" si="38"/>
        <v>0</v>
      </c>
      <c r="J98" s="133">
        <f t="shared" si="38"/>
        <v>0</v>
      </c>
      <c r="K98" s="133">
        <f t="shared" si="38"/>
        <v>0</v>
      </c>
      <c r="L98" s="133">
        <f t="shared" si="38"/>
        <v>0</v>
      </c>
      <c r="M98" s="133">
        <f t="shared" si="38"/>
        <v>0</v>
      </c>
      <c r="N98" s="133">
        <f t="shared" si="38"/>
        <v>0</v>
      </c>
      <c r="O98" s="133">
        <f t="shared" si="38"/>
        <v>0</v>
      </c>
      <c r="P98" s="133">
        <f t="shared" si="38"/>
        <v>0</v>
      </c>
      <c r="Q98" s="133">
        <f t="shared" si="38"/>
        <v>0</v>
      </c>
      <c r="R98" s="133">
        <f t="shared" si="38"/>
        <v>0</v>
      </c>
      <c r="S98" s="133">
        <f t="shared" si="38"/>
        <v>0</v>
      </c>
      <c r="T98" s="133">
        <f t="shared" si="38"/>
        <v>0</v>
      </c>
      <c r="U98" s="133">
        <f t="shared" si="38"/>
        <v>0</v>
      </c>
      <c r="V98" s="133">
        <f t="shared" si="38"/>
        <v>0</v>
      </c>
      <c r="W98" s="133">
        <f t="shared" si="38"/>
        <v>0</v>
      </c>
      <c r="X98" s="133">
        <f t="shared" si="38"/>
        <v>0</v>
      </c>
      <c r="Y98" s="133">
        <f t="shared" si="38"/>
        <v>0</v>
      </c>
      <c r="Z98" s="133">
        <f t="shared" si="38"/>
        <v>0</v>
      </c>
      <c r="AA98" s="133">
        <f t="shared" si="38"/>
        <v>0</v>
      </c>
      <c r="AB98" s="133">
        <f t="shared" si="38"/>
        <v>0</v>
      </c>
      <c r="AC98" s="133">
        <f t="shared" si="38"/>
        <v>0</v>
      </c>
      <c r="AD98" s="133">
        <f t="shared" si="38"/>
        <v>0</v>
      </c>
      <c r="AE98" s="133">
        <f t="shared" si="38"/>
        <v>0</v>
      </c>
      <c r="AF98" s="133">
        <f t="shared" si="38"/>
        <v>0</v>
      </c>
      <c r="AG98" s="133">
        <f t="shared" si="38"/>
        <v>0</v>
      </c>
      <c r="AH98" s="133">
        <f t="shared" si="38"/>
        <v>0</v>
      </c>
      <c r="AI98" s="133">
        <f t="shared" si="38"/>
        <v>0</v>
      </c>
    </row>
    <row r="99" spans="1:35" s="5" customFormat="1" ht="18" customHeight="1" x14ac:dyDescent="0.25">
      <c r="A99" s="125" t="s">
        <v>98</v>
      </c>
      <c r="B99" s="125"/>
      <c r="C99" s="122"/>
      <c r="D99" s="137"/>
      <c r="E99" s="122"/>
      <c r="F99" s="122">
        <f t="shared" ref="F99" si="39">SUM(F95:F98)</f>
        <v>0</v>
      </c>
      <c r="G99" s="122">
        <f t="shared" ref="G99:AI99" si="40">SUM(G95:G98)</f>
        <v>0</v>
      </c>
      <c r="H99" s="122">
        <f t="shared" si="40"/>
        <v>0</v>
      </c>
      <c r="I99" s="122">
        <f t="shared" si="40"/>
        <v>0</v>
      </c>
      <c r="J99" s="122">
        <f t="shared" si="40"/>
        <v>0</v>
      </c>
      <c r="K99" s="122">
        <f t="shared" si="40"/>
        <v>0</v>
      </c>
      <c r="L99" s="122">
        <f t="shared" si="40"/>
        <v>0</v>
      </c>
      <c r="M99" s="122">
        <f t="shared" si="40"/>
        <v>0</v>
      </c>
      <c r="N99" s="122">
        <f t="shared" si="40"/>
        <v>0</v>
      </c>
      <c r="O99" s="122">
        <f t="shared" si="40"/>
        <v>0</v>
      </c>
      <c r="P99" s="122">
        <f t="shared" si="40"/>
        <v>0</v>
      </c>
      <c r="Q99" s="122">
        <f t="shared" si="40"/>
        <v>0</v>
      </c>
      <c r="R99" s="122">
        <f t="shared" si="40"/>
        <v>0</v>
      </c>
      <c r="S99" s="122">
        <f t="shared" si="40"/>
        <v>0</v>
      </c>
      <c r="T99" s="122">
        <f t="shared" si="40"/>
        <v>0</v>
      </c>
      <c r="U99" s="122">
        <f t="shared" si="40"/>
        <v>0</v>
      </c>
      <c r="V99" s="122">
        <f t="shared" si="40"/>
        <v>0</v>
      </c>
      <c r="W99" s="122">
        <f t="shared" si="40"/>
        <v>0</v>
      </c>
      <c r="X99" s="122">
        <f t="shared" si="40"/>
        <v>0</v>
      </c>
      <c r="Y99" s="122">
        <f t="shared" si="40"/>
        <v>0</v>
      </c>
      <c r="Z99" s="122">
        <f t="shared" si="40"/>
        <v>0</v>
      </c>
      <c r="AA99" s="122">
        <f t="shared" si="40"/>
        <v>0</v>
      </c>
      <c r="AB99" s="122">
        <f t="shared" si="40"/>
        <v>0</v>
      </c>
      <c r="AC99" s="122">
        <f t="shared" si="40"/>
        <v>0</v>
      </c>
      <c r="AD99" s="122">
        <f t="shared" si="40"/>
        <v>0</v>
      </c>
      <c r="AE99" s="122">
        <f t="shared" si="40"/>
        <v>0</v>
      </c>
      <c r="AF99" s="122">
        <f t="shared" si="40"/>
        <v>0</v>
      </c>
      <c r="AG99" s="122">
        <f t="shared" si="40"/>
        <v>0</v>
      </c>
      <c r="AH99" s="122">
        <f t="shared" si="40"/>
        <v>0</v>
      </c>
      <c r="AI99" s="122">
        <f t="shared" si="40"/>
        <v>0</v>
      </c>
    </row>
    <row r="100" spans="1:35" s="5" customFormat="1" ht="18" customHeight="1" x14ac:dyDescent="0.25">
      <c r="A100" s="146" t="s">
        <v>32</v>
      </c>
      <c r="B100" s="146"/>
      <c r="C100" s="122"/>
      <c r="D100" s="137"/>
      <c r="E100" s="122"/>
      <c r="F100" s="122">
        <f t="shared" ref="F100:AI100" si="41">IF(ProjectYear&lt;=projectlife,-OpCost_Yr*F$47*(1+OpCostAdj_Yr)^(ProjectYear-1),0)</f>
        <v>0</v>
      </c>
      <c r="G100" s="122">
        <f t="shared" si="41"/>
        <v>0</v>
      </c>
      <c r="H100" s="122">
        <f t="shared" si="41"/>
        <v>0</v>
      </c>
      <c r="I100" s="122">
        <f t="shared" si="41"/>
        <v>0</v>
      </c>
      <c r="J100" s="122">
        <f t="shared" si="41"/>
        <v>0</v>
      </c>
      <c r="K100" s="122">
        <f t="shared" si="41"/>
        <v>0</v>
      </c>
      <c r="L100" s="122">
        <f t="shared" si="41"/>
        <v>0</v>
      </c>
      <c r="M100" s="122">
        <f t="shared" si="41"/>
        <v>0</v>
      </c>
      <c r="N100" s="122">
        <f t="shared" si="41"/>
        <v>0</v>
      </c>
      <c r="O100" s="122">
        <f t="shared" si="41"/>
        <v>0</v>
      </c>
      <c r="P100" s="122">
        <f t="shared" si="41"/>
        <v>0</v>
      </c>
      <c r="Q100" s="122">
        <f t="shared" si="41"/>
        <v>0</v>
      </c>
      <c r="R100" s="122">
        <f t="shared" si="41"/>
        <v>0</v>
      </c>
      <c r="S100" s="122">
        <f t="shared" si="41"/>
        <v>0</v>
      </c>
      <c r="T100" s="122">
        <f t="shared" si="41"/>
        <v>0</v>
      </c>
      <c r="U100" s="122">
        <f t="shared" si="41"/>
        <v>0</v>
      </c>
      <c r="V100" s="122">
        <f t="shared" si="41"/>
        <v>0</v>
      </c>
      <c r="W100" s="122">
        <f t="shared" si="41"/>
        <v>0</v>
      </c>
      <c r="X100" s="122">
        <f t="shared" si="41"/>
        <v>0</v>
      </c>
      <c r="Y100" s="122">
        <f t="shared" si="41"/>
        <v>0</v>
      </c>
      <c r="Z100" s="122">
        <f t="shared" si="41"/>
        <v>0</v>
      </c>
      <c r="AA100" s="122">
        <f t="shared" si="41"/>
        <v>0</v>
      </c>
      <c r="AB100" s="122">
        <f t="shared" si="41"/>
        <v>0</v>
      </c>
      <c r="AC100" s="122">
        <f t="shared" si="41"/>
        <v>0</v>
      </c>
      <c r="AD100" s="122">
        <f t="shared" si="41"/>
        <v>0</v>
      </c>
      <c r="AE100" s="122">
        <f t="shared" si="41"/>
        <v>0</v>
      </c>
      <c r="AF100" s="122">
        <f t="shared" si="41"/>
        <v>0</v>
      </c>
      <c r="AG100" s="122">
        <f t="shared" si="41"/>
        <v>0</v>
      </c>
      <c r="AH100" s="122">
        <f t="shared" si="41"/>
        <v>0</v>
      </c>
      <c r="AI100" s="122">
        <f t="shared" si="41"/>
        <v>0</v>
      </c>
    </row>
    <row r="101" spans="1:35" s="5" customFormat="1" ht="18" customHeight="1" x14ac:dyDescent="0.25">
      <c r="A101" s="147" t="s">
        <v>30</v>
      </c>
      <c r="B101" s="147"/>
      <c r="C101" s="122"/>
      <c r="D101" s="137"/>
      <c r="E101" s="122"/>
      <c r="F101" s="122">
        <f t="shared" ref="F101:AI101" si="42">IF(ProjectYear&lt;=projectlife,IF(F$44/ReplaceInverterYear=ROUND(F$44/ReplaceInverterYear,0),-InverterReplaceCost*SystemSize*F$47,0),0)</f>
        <v>0</v>
      </c>
      <c r="G101" s="122">
        <f t="shared" si="42"/>
        <v>0</v>
      </c>
      <c r="H101" s="122">
        <f t="shared" si="42"/>
        <v>0</v>
      </c>
      <c r="I101" s="122">
        <f t="shared" si="42"/>
        <v>0</v>
      </c>
      <c r="J101" s="122">
        <f t="shared" si="42"/>
        <v>0</v>
      </c>
      <c r="K101" s="122">
        <f t="shared" si="42"/>
        <v>0</v>
      </c>
      <c r="L101" s="122">
        <f t="shared" si="42"/>
        <v>0</v>
      </c>
      <c r="M101" s="122">
        <f t="shared" si="42"/>
        <v>0</v>
      </c>
      <c r="N101" s="122">
        <f t="shared" si="42"/>
        <v>0</v>
      </c>
      <c r="O101" s="122">
        <f t="shared" si="42"/>
        <v>0</v>
      </c>
      <c r="P101" s="122">
        <f t="shared" si="42"/>
        <v>0</v>
      </c>
      <c r="Q101" s="122">
        <f t="shared" si="42"/>
        <v>0</v>
      </c>
      <c r="R101" s="122">
        <f t="shared" si="42"/>
        <v>0</v>
      </c>
      <c r="S101" s="122">
        <f t="shared" si="42"/>
        <v>0</v>
      </c>
      <c r="T101" s="122">
        <f t="shared" si="42"/>
        <v>0</v>
      </c>
      <c r="U101" s="122">
        <f t="shared" si="42"/>
        <v>0</v>
      </c>
      <c r="V101" s="122">
        <f t="shared" si="42"/>
        <v>0</v>
      </c>
      <c r="W101" s="122">
        <f t="shared" si="42"/>
        <v>0</v>
      </c>
      <c r="X101" s="122">
        <f t="shared" si="42"/>
        <v>0</v>
      </c>
      <c r="Y101" s="122">
        <f t="shared" si="42"/>
        <v>0</v>
      </c>
      <c r="Z101" s="122">
        <f t="shared" si="42"/>
        <v>0</v>
      </c>
      <c r="AA101" s="122">
        <f t="shared" si="42"/>
        <v>0</v>
      </c>
      <c r="AB101" s="122">
        <f t="shared" si="42"/>
        <v>0</v>
      </c>
      <c r="AC101" s="122">
        <f t="shared" si="42"/>
        <v>0</v>
      </c>
      <c r="AD101" s="122">
        <f t="shared" si="42"/>
        <v>0</v>
      </c>
      <c r="AE101" s="122">
        <f t="shared" si="42"/>
        <v>0</v>
      </c>
      <c r="AF101" s="122">
        <f t="shared" si="42"/>
        <v>0</v>
      </c>
      <c r="AG101" s="122">
        <f t="shared" si="42"/>
        <v>0</v>
      </c>
      <c r="AH101" s="122">
        <f t="shared" si="42"/>
        <v>0</v>
      </c>
      <c r="AI101" s="122">
        <f t="shared" si="42"/>
        <v>0</v>
      </c>
    </row>
    <row r="102" spans="1:35" s="5" customFormat="1" ht="18" customHeight="1" x14ac:dyDescent="0.25">
      <c r="A102" s="125" t="s">
        <v>33</v>
      </c>
      <c r="B102" s="125"/>
      <c r="C102" s="122"/>
      <c r="D102" s="137"/>
      <c r="E102" s="122"/>
      <c r="F102" s="122">
        <f>F100+F101</f>
        <v>0</v>
      </c>
      <c r="G102" s="122">
        <f t="shared" ref="G102:AI102" si="43">G100+G101</f>
        <v>0</v>
      </c>
      <c r="H102" s="122">
        <f t="shared" si="43"/>
        <v>0</v>
      </c>
      <c r="I102" s="122">
        <f t="shared" si="43"/>
        <v>0</v>
      </c>
      <c r="J102" s="122">
        <f t="shared" si="43"/>
        <v>0</v>
      </c>
      <c r="K102" s="122">
        <f t="shared" si="43"/>
        <v>0</v>
      </c>
      <c r="L102" s="122">
        <f t="shared" si="43"/>
        <v>0</v>
      </c>
      <c r="M102" s="122">
        <f t="shared" si="43"/>
        <v>0</v>
      </c>
      <c r="N102" s="122">
        <f t="shared" si="43"/>
        <v>0</v>
      </c>
      <c r="O102" s="122">
        <f t="shared" si="43"/>
        <v>0</v>
      </c>
      <c r="P102" s="122">
        <f t="shared" si="43"/>
        <v>0</v>
      </c>
      <c r="Q102" s="122">
        <f t="shared" si="43"/>
        <v>0</v>
      </c>
      <c r="R102" s="122">
        <f t="shared" si="43"/>
        <v>0</v>
      </c>
      <c r="S102" s="122">
        <f t="shared" si="43"/>
        <v>0</v>
      </c>
      <c r="T102" s="122">
        <f t="shared" si="43"/>
        <v>0</v>
      </c>
      <c r="U102" s="122">
        <f t="shared" si="43"/>
        <v>0</v>
      </c>
      <c r="V102" s="122">
        <f t="shared" si="43"/>
        <v>0</v>
      </c>
      <c r="W102" s="122">
        <f t="shared" si="43"/>
        <v>0</v>
      </c>
      <c r="X102" s="122">
        <f t="shared" si="43"/>
        <v>0</v>
      </c>
      <c r="Y102" s="122">
        <f t="shared" si="43"/>
        <v>0</v>
      </c>
      <c r="Z102" s="122">
        <f t="shared" si="43"/>
        <v>0</v>
      </c>
      <c r="AA102" s="122">
        <f t="shared" si="43"/>
        <v>0</v>
      </c>
      <c r="AB102" s="122">
        <f t="shared" si="43"/>
        <v>0</v>
      </c>
      <c r="AC102" s="122">
        <f t="shared" si="43"/>
        <v>0</v>
      </c>
      <c r="AD102" s="122">
        <f t="shared" si="43"/>
        <v>0</v>
      </c>
      <c r="AE102" s="122">
        <f t="shared" si="43"/>
        <v>0</v>
      </c>
      <c r="AF102" s="122">
        <f t="shared" si="43"/>
        <v>0</v>
      </c>
      <c r="AG102" s="122">
        <f t="shared" si="43"/>
        <v>0</v>
      </c>
      <c r="AH102" s="122">
        <f t="shared" si="43"/>
        <v>0</v>
      </c>
      <c r="AI102" s="122">
        <f t="shared" si="43"/>
        <v>0</v>
      </c>
    </row>
    <row r="103" spans="1:35" s="5" customFormat="1" ht="18" customHeight="1" x14ac:dyDescent="0.25">
      <c r="A103" s="149" t="s">
        <v>99</v>
      </c>
      <c r="B103" s="149" t="s">
        <v>35</v>
      </c>
      <c r="C103" s="122"/>
      <c r="D103" s="137"/>
      <c r="E103" s="122"/>
      <c r="F103" s="122">
        <f t="shared" ref="F103:G103" si="44">F99+F102</f>
        <v>0</v>
      </c>
      <c r="G103" s="122">
        <f t="shared" si="44"/>
        <v>0</v>
      </c>
      <c r="H103" s="122">
        <f>H99+H102</f>
        <v>0</v>
      </c>
      <c r="I103" s="122">
        <f t="shared" ref="I103:AI103" si="45">I99+I102</f>
        <v>0</v>
      </c>
      <c r="J103" s="122">
        <f t="shared" si="45"/>
        <v>0</v>
      </c>
      <c r="K103" s="122">
        <f t="shared" si="45"/>
        <v>0</v>
      </c>
      <c r="L103" s="122">
        <f t="shared" si="45"/>
        <v>0</v>
      </c>
      <c r="M103" s="122">
        <f t="shared" si="45"/>
        <v>0</v>
      </c>
      <c r="N103" s="122">
        <f t="shared" si="45"/>
        <v>0</v>
      </c>
      <c r="O103" s="122">
        <f t="shared" si="45"/>
        <v>0</v>
      </c>
      <c r="P103" s="122">
        <f t="shared" si="45"/>
        <v>0</v>
      </c>
      <c r="Q103" s="122">
        <f t="shared" si="45"/>
        <v>0</v>
      </c>
      <c r="R103" s="122">
        <f t="shared" si="45"/>
        <v>0</v>
      </c>
      <c r="S103" s="122">
        <f t="shared" si="45"/>
        <v>0</v>
      </c>
      <c r="T103" s="122">
        <f t="shared" si="45"/>
        <v>0</v>
      </c>
      <c r="U103" s="122">
        <f t="shared" si="45"/>
        <v>0</v>
      </c>
      <c r="V103" s="122">
        <f t="shared" si="45"/>
        <v>0</v>
      </c>
      <c r="W103" s="122">
        <f t="shared" si="45"/>
        <v>0</v>
      </c>
      <c r="X103" s="122">
        <f t="shared" si="45"/>
        <v>0</v>
      </c>
      <c r="Y103" s="122">
        <f t="shared" si="45"/>
        <v>0</v>
      </c>
      <c r="Z103" s="122">
        <f t="shared" si="45"/>
        <v>0</v>
      </c>
      <c r="AA103" s="122">
        <f t="shared" si="45"/>
        <v>0</v>
      </c>
      <c r="AB103" s="122">
        <f t="shared" si="45"/>
        <v>0</v>
      </c>
      <c r="AC103" s="122">
        <f t="shared" si="45"/>
        <v>0</v>
      </c>
      <c r="AD103" s="122">
        <f t="shared" si="45"/>
        <v>0</v>
      </c>
      <c r="AE103" s="122">
        <f t="shared" si="45"/>
        <v>0</v>
      </c>
      <c r="AF103" s="122">
        <f t="shared" si="45"/>
        <v>0</v>
      </c>
      <c r="AG103" s="122">
        <f t="shared" si="45"/>
        <v>0</v>
      </c>
      <c r="AH103" s="122">
        <f t="shared" si="45"/>
        <v>0</v>
      </c>
      <c r="AI103" s="122">
        <f t="shared" si="45"/>
        <v>0</v>
      </c>
    </row>
    <row r="104" spans="1:35" s="5" customFormat="1" ht="18" customHeight="1" x14ac:dyDescent="0.25">
      <c r="A104" s="147" t="s">
        <v>56</v>
      </c>
      <c r="B104" s="147"/>
      <c r="C104" s="122"/>
      <c r="D104" s="137"/>
      <c r="E104" s="122"/>
      <c r="F104" s="122">
        <f>IF($B$9="Non-Taxable",0,-(AssetBasis)*F$47*DEP_01)</f>
        <v>0</v>
      </c>
      <c r="G104" s="122">
        <f>IF($B$9="Non-Taxable",0,-(AssetBasis)*G$47*Dep_02)</f>
        <v>0</v>
      </c>
      <c r="H104" s="122">
        <f>IF($B$9="Non-Taxable",0,-(AssetBasis)*H$47*Dep_03)</f>
        <v>0</v>
      </c>
      <c r="I104" s="122">
        <f>IF($B$9="Non-Taxable",0,-(AssetBasis)*I$47*DEP_04)</f>
        <v>0</v>
      </c>
      <c r="J104" s="122">
        <f>IF($B$9="Non-Taxable",0,-(AssetBasis)*J$47*DEP_05)</f>
        <v>0</v>
      </c>
      <c r="K104" s="122">
        <f>IF($B$9="Non-Taxable",0,-(AssetBasis)*K$47*DEP_06)</f>
        <v>0</v>
      </c>
      <c r="L104" s="122">
        <f>IF($B$9="Non-Taxable",0,-(AssetBasis)*L$47*DEP_07)</f>
        <v>0</v>
      </c>
      <c r="M104" s="122">
        <f>IF($B$9="Non-Taxable",0,-(AssetBasis)*M$47*DEP_08)</f>
        <v>0</v>
      </c>
      <c r="N104" s="122">
        <f>IF($B$9="Non-Taxable",0,-(AssetBasis)*N$47*DEP_09)</f>
        <v>0</v>
      </c>
      <c r="O104" s="122">
        <f>IF($B$9="Non-Taxable",0,-(AssetBasis)*O$47*DEP_10)</f>
        <v>0</v>
      </c>
      <c r="P104" s="122">
        <f>IF($B$9="Non-Taxable",0,-(AssetBasis)*P$47*DEP_11)</f>
        <v>0</v>
      </c>
      <c r="Q104" s="122">
        <f>IF($B$9="Non-Taxable",0,-(AssetBasis)*Q$47*DEP_12)</f>
        <v>0</v>
      </c>
      <c r="R104" s="122">
        <f>IF($B$9="Non-Taxable",0,-(AssetBasis)*R$47*DEP_13)</f>
        <v>0</v>
      </c>
      <c r="S104" s="122">
        <f>IF($B$9="Non-Taxable",0,-(AssetBasis)*S$47*DEP_14)</f>
        <v>0</v>
      </c>
      <c r="T104" s="122">
        <f>IF($B$9="Non-Taxable",0,-(AssetBasis)*T$47*DEP_15)</f>
        <v>0</v>
      </c>
      <c r="U104" s="122">
        <f>IF($B$9="Non-Taxable",0,-(AssetBasis)*U$47*DEP_16)</f>
        <v>0</v>
      </c>
      <c r="V104" s="122">
        <f>IF($B$9="Non-Taxable",0,-(AssetBasis)*V$47*DEP_17)</f>
        <v>0</v>
      </c>
      <c r="W104" s="122">
        <f>IF($B$9="Non-Taxable",0,-(AssetBasis)*W$47*DEP_18)</f>
        <v>0</v>
      </c>
      <c r="X104" s="122">
        <f>IF($B$9="Non-Taxable",0,-(AssetBasis)*X$47*DEP_19)</f>
        <v>0</v>
      </c>
      <c r="Y104" s="122">
        <f>IF($B$9="Non-Taxable",0,-(AssetBasis)*Y$47*DEP_20)</f>
        <v>0</v>
      </c>
      <c r="Z104" s="122">
        <f>IF($B$9="Non-Taxable",0,-(AssetBasis)*Z$47*DEP_21)</f>
        <v>0</v>
      </c>
      <c r="AA104" s="122">
        <f>IF($B$9="Non-Taxable",0,-(AssetBasis)*AA$47*DEP_22)</f>
        <v>0</v>
      </c>
      <c r="AB104" s="122">
        <f>IF($B$9="Non-Taxable",0,-(AssetBasis)*AB$47*DEP_23)</f>
        <v>0</v>
      </c>
      <c r="AC104" s="122">
        <f>IF($B$9="Non-Taxable",0,-(AssetBasis)*AC$47*DEP_24)</f>
        <v>0</v>
      </c>
      <c r="AD104" s="122">
        <f>IF($B$9="Non-Taxable",0,-(AssetBasis)*AD$47*DEP_25)</f>
        <v>0</v>
      </c>
      <c r="AE104" s="122">
        <f>IF($B$9="Non-Taxable",0,-(AssetBasis)*AE$47*DEP_26)</f>
        <v>0</v>
      </c>
      <c r="AF104" s="122">
        <f>IF($B$9="Non-Taxable",0,-(AssetBasis)*AF$47*DEP_27)</f>
        <v>0</v>
      </c>
      <c r="AG104" s="122">
        <f>IF($B$9="Non-Taxable",0,-(AssetBasis)*AG$47*DEP_28)</f>
        <v>0</v>
      </c>
      <c r="AH104" s="122">
        <f>IF($B$9="Non-Taxable",0,-(AssetBasis)*AH$47*DEP_29)</f>
        <v>0</v>
      </c>
      <c r="AI104" s="122">
        <f>IF($B$9="Non-Taxable",0,-(AssetBasis)*AI$47*DEP_30)</f>
        <v>0</v>
      </c>
    </row>
    <row r="105" spans="1:35" s="5" customFormat="1" ht="18" customHeight="1" x14ac:dyDescent="0.25">
      <c r="A105" s="149"/>
      <c r="B105" s="149" t="s">
        <v>37</v>
      </c>
      <c r="C105" s="122"/>
      <c r="D105" s="137"/>
      <c r="E105" s="122"/>
      <c r="F105" s="122">
        <f>SUM(F103:F104)</f>
        <v>0</v>
      </c>
      <c r="G105" s="122">
        <f t="shared" ref="G105:J105" si="46">SUM(G103:G104)</f>
        <v>0</v>
      </c>
      <c r="H105" s="122">
        <f t="shared" si="46"/>
        <v>0</v>
      </c>
      <c r="I105" s="122">
        <f t="shared" si="46"/>
        <v>0</v>
      </c>
      <c r="J105" s="122">
        <f t="shared" si="46"/>
        <v>0</v>
      </c>
      <c r="K105" s="122">
        <f>SUM(K103:K104)</f>
        <v>0</v>
      </c>
      <c r="L105" s="122">
        <f t="shared" ref="L105:AI105" si="47">SUM(L103:L104)</f>
        <v>0</v>
      </c>
      <c r="M105" s="122">
        <f t="shared" si="47"/>
        <v>0</v>
      </c>
      <c r="N105" s="122">
        <f t="shared" si="47"/>
        <v>0</v>
      </c>
      <c r="O105" s="122">
        <f t="shared" si="47"/>
        <v>0</v>
      </c>
      <c r="P105" s="122">
        <f t="shared" si="47"/>
        <v>0</v>
      </c>
      <c r="Q105" s="122">
        <f t="shared" si="47"/>
        <v>0</v>
      </c>
      <c r="R105" s="122">
        <f t="shared" si="47"/>
        <v>0</v>
      </c>
      <c r="S105" s="122">
        <f t="shared" si="47"/>
        <v>0</v>
      </c>
      <c r="T105" s="122">
        <f t="shared" si="47"/>
        <v>0</v>
      </c>
      <c r="U105" s="122">
        <f t="shared" si="47"/>
        <v>0</v>
      </c>
      <c r="V105" s="122">
        <f t="shared" si="47"/>
        <v>0</v>
      </c>
      <c r="W105" s="122">
        <f t="shared" si="47"/>
        <v>0</v>
      </c>
      <c r="X105" s="122">
        <f t="shared" si="47"/>
        <v>0</v>
      </c>
      <c r="Y105" s="122">
        <f t="shared" si="47"/>
        <v>0</v>
      </c>
      <c r="Z105" s="122">
        <f t="shared" si="47"/>
        <v>0</v>
      </c>
      <c r="AA105" s="122">
        <f t="shared" si="47"/>
        <v>0</v>
      </c>
      <c r="AB105" s="122">
        <f t="shared" si="47"/>
        <v>0</v>
      </c>
      <c r="AC105" s="122">
        <f t="shared" si="47"/>
        <v>0</v>
      </c>
      <c r="AD105" s="122">
        <f t="shared" si="47"/>
        <v>0</v>
      </c>
      <c r="AE105" s="122">
        <f t="shared" si="47"/>
        <v>0</v>
      </c>
      <c r="AF105" s="122">
        <f t="shared" si="47"/>
        <v>0</v>
      </c>
      <c r="AG105" s="122">
        <f t="shared" si="47"/>
        <v>0</v>
      </c>
      <c r="AH105" s="122">
        <f t="shared" si="47"/>
        <v>0</v>
      </c>
      <c r="AI105" s="122">
        <f t="shared" si="47"/>
        <v>0</v>
      </c>
    </row>
    <row r="106" spans="1:35" s="5" customFormat="1" ht="18" customHeight="1" x14ac:dyDescent="0.25">
      <c r="A106" s="147" t="s">
        <v>38</v>
      </c>
      <c r="B106" s="147"/>
      <c r="C106" s="122"/>
      <c r="D106" s="137"/>
      <c r="E106" s="122"/>
      <c r="F106" s="122">
        <f t="shared" ref="F106:AI106" si="48">F$134</f>
        <v>0</v>
      </c>
      <c r="G106" s="122">
        <f t="shared" si="48"/>
        <v>0</v>
      </c>
      <c r="H106" s="122">
        <f t="shared" si="48"/>
        <v>0</v>
      </c>
      <c r="I106" s="122">
        <f t="shared" si="48"/>
        <v>0</v>
      </c>
      <c r="J106" s="122">
        <f t="shared" si="48"/>
        <v>0</v>
      </c>
      <c r="K106" s="122">
        <f t="shared" si="48"/>
        <v>0</v>
      </c>
      <c r="L106" s="122">
        <f t="shared" si="48"/>
        <v>0</v>
      </c>
      <c r="M106" s="122">
        <f t="shared" si="48"/>
        <v>0</v>
      </c>
      <c r="N106" s="122">
        <f t="shared" si="48"/>
        <v>0</v>
      </c>
      <c r="O106" s="122">
        <f t="shared" si="48"/>
        <v>0</v>
      </c>
      <c r="P106" s="122">
        <f t="shared" si="48"/>
        <v>0</v>
      </c>
      <c r="Q106" s="122">
        <f t="shared" si="48"/>
        <v>0</v>
      </c>
      <c r="R106" s="122">
        <f t="shared" si="48"/>
        <v>0</v>
      </c>
      <c r="S106" s="122">
        <f t="shared" si="48"/>
        <v>0</v>
      </c>
      <c r="T106" s="122">
        <f t="shared" si="48"/>
        <v>0</v>
      </c>
      <c r="U106" s="122">
        <f t="shared" si="48"/>
        <v>0</v>
      </c>
      <c r="V106" s="122">
        <f t="shared" si="48"/>
        <v>0</v>
      </c>
      <c r="W106" s="122">
        <f t="shared" si="48"/>
        <v>0</v>
      </c>
      <c r="X106" s="122">
        <f t="shared" si="48"/>
        <v>0</v>
      </c>
      <c r="Y106" s="122">
        <f t="shared" si="48"/>
        <v>0</v>
      </c>
      <c r="Z106" s="122">
        <f t="shared" si="48"/>
        <v>0</v>
      </c>
      <c r="AA106" s="122">
        <f t="shared" si="48"/>
        <v>0</v>
      </c>
      <c r="AB106" s="122">
        <f t="shared" si="48"/>
        <v>0</v>
      </c>
      <c r="AC106" s="122">
        <f t="shared" si="48"/>
        <v>0</v>
      </c>
      <c r="AD106" s="122">
        <f t="shared" si="48"/>
        <v>0</v>
      </c>
      <c r="AE106" s="122">
        <f t="shared" si="48"/>
        <v>0</v>
      </c>
      <c r="AF106" s="122">
        <f t="shared" si="48"/>
        <v>0</v>
      </c>
      <c r="AG106" s="122">
        <f t="shared" si="48"/>
        <v>0</v>
      </c>
      <c r="AH106" s="122">
        <f t="shared" si="48"/>
        <v>0</v>
      </c>
      <c r="AI106" s="122">
        <f t="shared" si="48"/>
        <v>0</v>
      </c>
    </row>
    <row r="107" spans="1:35" s="5" customFormat="1" ht="18" customHeight="1" x14ac:dyDescent="0.25">
      <c r="A107" s="149"/>
      <c r="B107" s="149" t="s">
        <v>39</v>
      </c>
      <c r="C107" s="122"/>
      <c r="D107" s="137"/>
      <c r="E107" s="122"/>
      <c r="F107" s="122">
        <f>F105+F106</f>
        <v>0</v>
      </c>
      <c r="G107" s="122">
        <f t="shared" ref="G107:I107" si="49">G105+G106</f>
        <v>0</v>
      </c>
      <c r="H107" s="122">
        <f t="shared" si="49"/>
        <v>0</v>
      </c>
      <c r="I107" s="122">
        <f t="shared" si="49"/>
        <v>0</v>
      </c>
      <c r="J107" s="122">
        <f>J105+J106</f>
        <v>0</v>
      </c>
      <c r="K107" s="122">
        <f>K105+K106</f>
        <v>0</v>
      </c>
      <c r="L107" s="122">
        <f t="shared" ref="L107:AI107" si="50">L105+L106</f>
        <v>0</v>
      </c>
      <c r="M107" s="122">
        <f t="shared" si="50"/>
        <v>0</v>
      </c>
      <c r="N107" s="122">
        <f t="shared" si="50"/>
        <v>0</v>
      </c>
      <c r="O107" s="122">
        <f t="shared" si="50"/>
        <v>0</v>
      </c>
      <c r="P107" s="122">
        <f t="shared" si="50"/>
        <v>0</v>
      </c>
      <c r="Q107" s="122">
        <f t="shared" si="50"/>
        <v>0</v>
      </c>
      <c r="R107" s="122">
        <f t="shared" si="50"/>
        <v>0</v>
      </c>
      <c r="S107" s="122">
        <f t="shared" si="50"/>
        <v>0</v>
      </c>
      <c r="T107" s="122">
        <f t="shared" si="50"/>
        <v>0</v>
      </c>
      <c r="U107" s="122">
        <f t="shared" si="50"/>
        <v>0</v>
      </c>
      <c r="V107" s="122">
        <f t="shared" si="50"/>
        <v>0</v>
      </c>
      <c r="W107" s="122">
        <f t="shared" si="50"/>
        <v>0</v>
      </c>
      <c r="X107" s="122">
        <f t="shared" si="50"/>
        <v>0</v>
      </c>
      <c r="Y107" s="122">
        <f t="shared" si="50"/>
        <v>0</v>
      </c>
      <c r="Z107" s="122">
        <f t="shared" si="50"/>
        <v>0</v>
      </c>
      <c r="AA107" s="122">
        <f t="shared" si="50"/>
        <v>0</v>
      </c>
      <c r="AB107" s="122">
        <f t="shared" si="50"/>
        <v>0</v>
      </c>
      <c r="AC107" s="122">
        <f t="shared" si="50"/>
        <v>0</v>
      </c>
      <c r="AD107" s="122">
        <f t="shared" si="50"/>
        <v>0</v>
      </c>
      <c r="AE107" s="122">
        <f t="shared" si="50"/>
        <v>0</v>
      </c>
      <c r="AF107" s="122">
        <f t="shared" si="50"/>
        <v>0</v>
      </c>
      <c r="AG107" s="122">
        <f t="shared" si="50"/>
        <v>0</v>
      </c>
      <c r="AH107" s="122">
        <f t="shared" si="50"/>
        <v>0</v>
      </c>
      <c r="AI107" s="122">
        <f t="shared" si="50"/>
        <v>0</v>
      </c>
    </row>
    <row r="108" spans="1:35" s="30" customFormat="1" ht="18" customHeight="1" x14ac:dyDescent="0.25">
      <c r="A108" s="147" t="s">
        <v>57</v>
      </c>
      <c r="B108" s="147"/>
      <c r="C108" s="122"/>
      <c r="D108" s="137"/>
      <c r="E108" s="122"/>
      <c r="F108" s="122">
        <f t="shared" ref="F108:AI108" si="51">IF(taxable="Non-Taxable",0,IF(F$109&gt;=0,-F$107*FedTaxRate,(-F$107*FedTaxRate)-(F$109*FedTaxRate)))</f>
        <v>0</v>
      </c>
      <c r="G108" s="122">
        <f t="shared" si="51"/>
        <v>0</v>
      </c>
      <c r="H108" s="122">
        <f t="shared" si="51"/>
        <v>0</v>
      </c>
      <c r="I108" s="122">
        <f t="shared" si="51"/>
        <v>0</v>
      </c>
      <c r="J108" s="122">
        <f t="shared" si="51"/>
        <v>0</v>
      </c>
      <c r="K108" s="122">
        <f t="shared" si="51"/>
        <v>0</v>
      </c>
      <c r="L108" s="122">
        <f t="shared" si="51"/>
        <v>0</v>
      </c>
      <c r="M108" s="122">
        <f t="shared" si="51"/>
        <v>0</v>
      </c>
      <c r="N108" s="122">
        <f t="shared" si="51"/>
        <v>0</v>
      </c>
      <c r="O108" s="122">
        <f t="shared" si="51"/>
        <v>0</v>
      </c>
      <c r="P108" s="122">
        <f t="shared" si="51"/>
        <v>0</v>
      </c>
      <c r="Q108" s="122">
        <f t="shared" si="51"/>
        <v>0</v>
      </c>
      <c r="R108" s="122">
        <f t="shared" si="51"/>
        <v>0</v>
      </c>
      <c r="S108" s="122">
        <f t="shared" si="51"/>
        <v>0</v>
      </c>
      <c r="T108" s="122">
        <f t="shared" si="51"/>
        <v>0</v>
      </c>
      <c r="U108" s="122">
        <f t="shared" si="51"/>
        <v>0</v>
      </c>
      <c r="V108" s="122">
        <f t="shared" si="51"/>
        <v>0</v>
      </c>
      <c r="W108" s="122">
        <f t="shared" si="51"/>
        <v>0</v>
      </c>
      <c r="X108" s="122">
        <f t="shared" si="51"/>
        <v>0</v>
      </c>
      <c r="Y108" s="122">
        <f t="shared" si="51"/>
        <v>0</v>
      </c>
      <c r="Z108" s="122">
        <f t="shared" si="51"/>
        <v>0</v>
      </c>
      <c r="AA108" s="122">
        <f t="shared" si="51"/>
        <v>0</v>
      </c>
      <c r="AB108" s="122">
        <f t="shared" si="51"/>
        <v>0</v>
      </c>
      <c r="AC108" s="122">
        <f t="shared" si="51"/>
        <v>0</v>
      </c>
      <c r="AD108" s="122">
        <f t="shared" si="51"/>
        <v>0</v>
      </c>
      <c r="AE108" s="122">
        <f t="shared" si="51"/>
        <v>0</v>
      </c>
      <c r="AF108" s="122">
        <f t="shared" si="51"/>
        <v>0</v>
      </c>
      <c r="AG108" s="122">
        <f t="shared" si="51"/>
        <v>0</v>
      </c>
      <c r="AH108" s="122">
        <f t="shared" si="51"/>
        <v>0</v>
      </c>
      <c r="AI108" s="122">
        <f t="shared" si="51"/>
        <v>0</v>
      </c>
    </row>
    <row r="109" spans="1:35" s="30" customFormat="1" ht="18" customHeight="1" x14ac:dyDescent="0.25">
      <c r="A109" s="150" t="s">
        <v>58</v>
      </c>
      <c r="B109" s="150"/>
      <c r="C109" s="151"/>
      <c r="D109" s="137"/>
      <c r="E109" s="151"/>
      <c r="F109" s="151">
        <f t="shared" ref="F109:AI109" si="52">IF(taxable="Non-Taxable",0,IF(ProjectYear&lt;=projectlife,-(F$107-F$104)*StateTaxRate,0))</f>
        <v>0</v>
      </c>
      <c r="G109" s="151">
        <f t="shared" si="52"/>
        <v>0</v>
      </c>
      <c r="H109" s="151">
        <f t="shared" si="52"/>
        <v>0</v>
      </c>
      <c r="I109" s="151">
        <f t="shared" si="52"/>
        <v>0</v>
      </c>
      <c r="J109" s="151">
        <f t="shared" si="52"/>
        <v>0</v>
      </c>
      <c r="K109" s="151">
        <f t="shared" si="52"/>
        <v>0</v>
      </c>
      <c r="L109" s="151">
        <f t="shared" si="52"/>
        <v>0</v>
      </c>
      <c r="M109" s="151">
        <f t="shared" si="52"/>
        <v>0</v>
      </c>
      <c r="N109" s="151">
        <f t="shared" si="52"/>
        <v>0</v>
      </c>
      <c r="O109" s="151">
        <f t="shared" si="52"/>
        <v>0</v>
      </c>
      <c r="P109" s="151">
        <f t="shared" si="52"/>
        <v>0</v>
      </c>
      <c r="Q109" s="151">
        <f t="shared" si="52"/>
        <v>0</v>
      </c>
      <c r="R109" s="151">
        <f t="shared" si="52"/>
        <v>0</v>
      </c>
      <c r="S109" s="151">
        <f t="shared" si="52"/>
        <v>0</v>
      </c>
      <c r="T109" s="151">
        <f t="shared" si="52"/>
        <v>0</v>
      </c>
      <c r="U109" s="151">
        <f t="shared" si="52"/>
        <v>0</v>
      </c>
      <c r="V109" s="151">
        <f t="shared" si="52"/>
        <v>0</v>
      </c>
      <c r="W109" s="151">
        <f t="shared" si="52"/>
        <v>0</v>
      </c>
      <c r="X109" s="151">
        <f t="shared" si="52"/>
        <v>0</v>
      </c>
      <c r="Y109" s="151">
        <f t="shared" si="52"/>
        <v>0</v>
      </c>
      <c r="Z109" s="151">
        <f t="shared" si="52"/>
        <v>0</v>
      </c>
      <c r="AA109" s="151">
        <f t="shared" si="52"/>
        <v>0</v>
      </c>
      <c r="AB109" s="151">
        <f t="shared" si="52"/>
        <v>0</v>
      </c>
      <c r="AC109" s="151">
        <f t="shared" si="52"/>
        <v>0</v>
      </c>
      <c r="AD109" s="151">
        <f t="shared" si="52"/>
        <v>0</v>
      </c>
      <c r="AE109" s="151">
        <f t="shared" si="52"/>
        <v>0</v>
      </c>
      <c r="AF109" s="151">
        <f t="shared" si="52"/>
        <v>0</v>
      </c>
      <c r="AG109" s="151">
        <f t="shared" si="52"/>
        <v>0</v>
      </c>
      <c r="AH109" s="151">
        <f t="shared" si="52"/>
        <v>0</v>
      </c>
      <c r="AI109" s="151">
        <f t="shared" si="52"/>
        <v>0</v>
      </c>
    </row>
    <row r="110" spans="1:35" s="21" customFormat="1" ht="18" customHeight="1" x14ac:dyDescent="0.25">
      <c r="A110" s="152" t="s">
        <v>40</v>
      </c>
      <c r="B110" s="153"/>
      <c r="C110" s="127"/>
      <c r="D110" s="127"/>
      <c r="E110" s="127"/>
      <c r="F110" s="127">
        <f>SUM(F107:F109)</f>
        <v>0</v>
      </c>
      <c r="G110" s="127">
        <f t="shared" ref="G110:AI110" si="53">SUM(G107:G109)</f>
        <v>0</v>
      </c>
      <c r="H110" s="127">
        <f t="shared" si="53"/>
        <v>0</v>
      </c>
      <c r="I110" s="127">
        <f t="shared" si="53"/>
        <v>0</v>
      </c>
      <c r="J110" s="127">
        <f t="shared" si="53"/>
        <v>0</v>
      </c>
      <c r="K110" s="127">
        <f t="shared" si="53"/>
        <v>0</v>
      </c>
      <c r="L110" s="127">
        <f t="shared" si="53"/>
        <v>0</v>
      </c>
      <c r="M110" s="127">
        <f t="shared" si="53"/>
        <v>0</v>
      </c>
      <c r="N110" s="127">
        <f t="shared" si="53"/>
        <v>0</v>
      </c>
      <c r="O110" s="127">
        <f t="shared" si="53"/>
        <v>0</v>
      </c>
      <c r="P110" s="127">
        <f t="shared" si="53"/>
        <v>0</v>
      </c>
      <c r="Q110" s="127">
        <f t="shared" si="53"/>
        <v>0</v>
      </c>
      <c r="R110" s="127">
        <f t="shared" si="53"/>
        <v>0</v>
      </c>
      <c r="S110" s="127">
        <f t="shared" si="53"/>
        <v>0</v>
      </c>
      <c r="T110" s="127">
        <f t="shared" si="53"/>
        <v>0</v>
      </c>
      <c r="U110" s="127">
        <f t="shared" si="53"/>
        <v>0</v>
      </c>
      <c r="V110" s="127">
        <f t="shared" si="53"/>
        <v>0</v>
      </c>
      <c r="W110" s="127">
        <f t="shared" si="53"/>
        <v>0</v>
      </c>
      <c r="X110" s="127">
        <f t="shared" si="53"/>
        <v>0</v>
      </c>
      <c r="Y110" s="127">
        <f t="shared" si="53"/>
        <v>0</v>
      </c>
      <c r="Z110" s="127">
        <f t="shared" si="53"/>
        <v>0</v>
      </c>
      <c r="AA110" s="127">
        <f t="shared" si="53"/>
        <v>0</v>
      </c>
      <c r="AB110" s="127">
        <f t="shared" si="53"/>
        <v>0</v>
      </c>
      <c r="AC110" s="127">
        <f t="shared" si="53"/>
        <v>0</v>
      </c>
      <c r="AD110" s="127">
        <f t="shared" si="53"/>
        <v>0</v>
      </c>
      <c r="AE110" s="127">
        <f t="shared" si="53"/>
        <v>0</v>
      </c>
      <c r="AF110" s="127">
        <f t="shared" si="53"/>
        <v>0</v>
      </c>
      <c r="AG110" s="127">
        <f t="shared" si="53"/>
        <v>0</v>
      </c>
      <c r="AH110" s="127">
        <f t="shared" si="53"/>
        <v>0</v>
      </c>
      <c r="AI110" s="128">
        <f t="shared" si="53"/>
        <v>0</v>
      </c>
    </row>
    <row r="111" spans="1:35" s="5" customFormat="1" ht="18" customHeight="1" x14ac:dyDescent="0.25">
      <c r="A111" s="144" t="s">
        <v>53</v>
      </c>
      <c r="B111" s="144"/>
      <c r="C111" s="122"/>
      <c r="D111" s="137"/>
      <c r="E111" s="122"/>
      <c r="F111" s="132"/>
      <c r="G111" s="132"/>
      <c r="H111" s="13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row>
    <row r="112" spans="1:35" s="5" customFormat="1" ht="18" customHeight="1" x14ac:dyDescent="0.25">
      <c r="A112" s="121" t="s">
        <v>103</v>
      </c>
      <c r="B112" s="121"/>
      <c r="C112" s="122"/>
      <c r="D112" s="137"/>
      <c r="E112" s="122"/>
      <c r="F112" s="122">
        <f>F110-F104</f>
        <v>0</v>
      </c>
      <c r="G112" s="122">
        <f t="shared" ref="G112:AI112" si="54">G110-G104</f>
        <v>0</v>
      </c>
      <c r="H112" s="122">
        <f t="shared" si="54"/>
        <v>0</v>
      </c>
      <c r="I112" s="122">
        <f t="shared" si="54"/>
        <v>0</v>
      </c>
      <c r="J112" s="122">
        <f t="shared" si="54"/>
        <v>0</v>
      </c>
      <c r="K112" s="122">
        <f t="shared" si="54"/>
        <v>0</v>
      </c>
      <c r="L112" s="122">
        <f t="shared" si="54"/>
        <v>0</v>
      </c>
      <c r="M112" s="122">
        <f t="shared" si="54"/>
        <v>0</v>
      </c>
      <c r="N112" s="122">
        <f t="shared" si="54"/>
        <v>0</v>
      </c>
      <c r="O112" s="122">
        <f t="shared" si="54"/>
        <v>0</v>
      </c>
      <c r="P112" s="122">
        <f t="shared" si="54"/>
        <v>0</v>
      </c>
      <c r="Q112" s="122">
        <f t="shared" si="54"/>
        <v>0</v>
      </c>
      <c r="R112" s="122">
        <f t="shared" si="54"/>
        <v>0</v>
      </c>
      <c r="S112" s="122">
        <f t="shared" si="54"/>
        <v>0</v>
      </c>
      <c r="T112" s="122">
        <f t="shared" si="54"/>
        <v>0</v>
      </c>
      <c r="U112" s="122">
        <f t="shared" si="54"/>
        <v>0</v>
      </c>
      <c r="V112" s="122">
        <f t="shared" si="54"/>
        <v>0</v>
      </c>
      <c r="W112" s="122">
        <f t="shared" si="54"/>
        <v>0</v>
      </c>
      <c r="X112" s="122">
        <f t="shared" si="54"/>
        <v>0</v>
      </c>
      <c r="Y112" s="122">
        <f t="shared" si="54"/>
        <v>0</v>
      </c>
      <c r="Z112" s="122">
        <f t="shared" si="54"/>
        <v>0</v>
      </c>
      <c r="AA112" s="122">
        <f t="shared" si="54"/>
        <v>0</v>
      </c>
      <c r="AB112" s="122">
        <f t="shared" si="54"/>
        <v>0</v>
      </c>
      <c r="AC112" s="122">
        <f t="shared" si="54"/>
        <v>0</v>
      </c>
      <c r="AD112" s="122">
        <f t="shared" si="54"/>
        <v>0</v>
      </c>
      <c r="AE112" s="122">
        <f t="shared" si="54"/>
        <v>0</v>
      </c>
      <c r="AF112" s="122">
        <f t="shared" si="54"/>
        <v>0</v>
      </c>
      <c r="AG112" s="122">
        <f t="shared" si="54"/>
        <v>0</v>
      </c>
      <c r="AH112" s="122">
        <f t="shared" si="54"/>
        <v>0</v>
      </c>
      <c r="AI112" s="122">
        <f t="shared" si="54"/>
        <v>0</v>
      </c>
    </row>
    <row r="113" spans="1:36" s="5" customFormat="1" ht="18" customHeight="1" x14ac:dyDescent="0.25">
      <c r="A113" s="121" t="s">
        <v>46</v>
      </c>
      <c r="B113" s="121"/>
      <c r="C113" s="122"/>
      <c r="D113" s="137"/>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row>
    <row r="114" spans="1:36" s="5" customFormat="1" ht="18" customHeight="1" x14ac:dyDescent="0.25">
      <c r="A114" s="124" t="s">
        <v>138</v>
      </c>
      <c r="B114" s="124"/>
      <c r="C114" s="122"/>
      <c r="D114" s="137"/>
      <c r="E114" s="122"/>
      <c r="F114" s="122">
        <f t="shared" ref="F114:AI114" si="55">IF(F$44=$B$16,-$B$15,0)</f>
        <v>0</v>
      </c>
      <c r="G114" s="122">
        <f t="shared" si="55"/>
        <v>0</v>
      </c>
      <c r="H114" s="122">
        <f t="shared" si="55"/>
        <v>0</v>
      </c>
      <c r="I114" s="122">
        <f t="shared" si="55"/>
        <v>0</v>
      </c>
      <c r="J114" s="122">
        <f t="shared" si="55"/>
        <v>0</v>
      </c>
      <c r="K114" s="122">
        <f t="shared" si="55"/>
        <v>0</v>
      </c>
      <c r="L114" s="122">
        <f t="shared" si="55"/>
        <v>0</v>
      </c>
      <c r="M114" s="122">
        <f t="shared" si="55"/>
        <v>0</v>
      </c>
      <c r="N114" s="122">
        <f t="shared" si="55"/>
        <v>0</v>
      </c>
      <c r="O114" s="122">
        <f t="shared" si="55"/>
        <v>0</v>
      </c>
      <c r="P114" s="122">
        <f t="shared" si="55"/>
        <v>0</v>
      </c>
      <c r="Q114" s="122">
        <f t="shared" si="55"/>
        <v>0</v>
      </c>
      <c r="R114" s="122">
        <f t="shared" si="55"/>
        <v>0</v>
      </c>
      <c r="S114" s="122">
        <f t="shared" si="55"/>
        <v>0</v>
      </c>
      <c r="T114" s="122">
        <f t="shared" si="55"/>
        <v>0</v>
      </c>
      <c r="U114" s="122">
        <f t="shared" si="55"/>
        <v>0</v>
      </c>
      <c r="V114" s="122">
        <f t="shared" si="55"/>
        <v>0</v>
      </c>
      <c r="W114" s="122">
        <f t="shared" si="55"/>
        <v>0</v>
      </c>
      <c r="X114" s="122">
        <f t="shared" si="55"/>
        <v>0</v>
      </c>
      <c r="Y114" s="122">
        <f t="shared" si="55"/>
        <v>0</v>
      </c>
      <c r="Z114" s="122">
        <f t="shared" si="55"/>
        <v>0</v>
      </c>
      <c r="AA114" s="122">
        <f t="shared" si="55"/>
        <v>0</v>
      </c>
      <c r="AB114" s="122">
        <f t="shared" si="55"/>
        <v>0</v>
      </c>
      <c r="AC114" s="122">
        <f t="shared" si="55"/>
        <v>0</v>
      </c>
      <c r="AD114" s="122">
        <f t="shared" si="55"/>
        <v>0</v>
      </c>
      <c r="AE114" s="122">
        <f t="shared" si="55"/>
        <v>0</v>
      </c>
      <c r="AF114" s="122">
        <f t="shared" si="55"/>
        <v>0</v>
      </c>
      <c r="AG114" s="122">
        <f t="shared" si="55"/>
        <v>0</v>
      </c>
      <c r="AH114" s="122">
        <f t="shared" si="55"/>
        <v>0</v>
      </c>
      <c r="AI114" s="122">
        <f t="shared" si="55"/>
        <v>0</v>
      </c>
    </row>
    <row r="115" spans="1:36" s="5" customFormat="1" ht="18" customHeight="1" x14ac:dyDescent="0.25">
      <c r="A115" s="124" t="s">
        <v>61</v>
      </c>
      <c r="B115" s="124"/>
      <c r="C115" s="122"/>
      <c r="D115" s="137"/>
      <c r="E115" s="122"/>
      <c r="F115" s="154"/>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row>
    <row r="116" spans="1:36" s="5" customFormat="1" ht="18" customHeight="1" x14ac:dyDescent="0.25">
      <c r="A116" s="124" t="s">
        <v>77</v>
      </c>
      <c r="B116" s="124"/>
      <c r="C116" s="122"/>
      <c r="D116" s="137"/>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row>
    <row r="117" spans="1:36" s="5" customFormat="1" ht="18" customHeight="1" x14ac:dyDescent="0.25">
      <c r="A117" s="125" t="s">
        <v>47</v>
      </c>
      <c r="B117" s="125"/>
      <c r="C117" s="122"/>
      <c r="D117" s="137"/>
      <c r="E117" s="122"/>
      <c r="F117" s="122">
        <f t="shared" ref="F117:AI117" si="56">SUM(F114:F116)</f>
        <v>0</v>
      </c>
      <c r="G117" s="122">
        <f t="shared" si="56"/>
        <v>0</v>
      </c>
      <c r="H117" s="122">
        <f t="shared" si="56"/>
        <v>0</v>
      </c>
      <c r="I117" s="122">
        <f t="shared" si="56"/>
        <v>0</v>
      </c>
      <c r="J117" s="122">
        <f t="shared" si="56"/>
        <v>0</v>
      </c>
      <c r="K117" s="122">
        <f t="shared" si="56"/>
        <v>0</v>
      </c>
      <c r="L117" s="122">
        <f t="shared" si="56"/>
        <v>0</v>
      </c>
      <c r="M117" s="122">
        <f t="shared" si="56"/>
        <v>0</v>
      </c>
      <c r="N117" s="122">
        <f t="shared" si="56"/>
        <v>0</v>
      </c>
      <c r="O117" s="122">
        <f t="shared" si="56"/>
        <v>0</v>
      </c>
      <c r="P117" s="122">
        <f t="shared" si="56"/>
        <v>0</v>
      </c>
      <c r="Q117" s="122">
        <f t="shared" si="56"/>
        <v>0</v>
      </c>
      <c r="R117" s="122">
        <f t="shared" si="56"/>
        <v>0</v>
      </c>
      <c r="S117" s="122">
        <f t="shared" si="56"/>
        <v>0</v>
      </c>
      <c r="T117" s="122">
        <f t="shared" si="56"/>
        <v>0</v>
      </c>
      <c r="U117" s="122">
        <f t="shared" si="56"/>
        <v>0</v>
      </c>
      <c r="V117" s="122">
        <f t="shared" si="56"/>
        <v>0</v>
      </c>
      <c r="W117" s="122">
        <f t="shared" si="56"/>
        <v>0</v>
      </c>
      <c r="X117" s="122">
        <f t="shared" si="56"/>
        <v>0</v>
      </c>
      <c r="Y117" s="122">
        <f t="shared" si="56"/>
        <v>0</v>
      </c>
      <c r="Z117" s="122">
        <f t="shared" si="56"/>
        <v>0</v>
      </c>
      <c r="AA117" s="122">
        <f t="shared" si="56"/>
        <v>0</v>
      </c>
      <c r="AB117" s="122">
        <f t="shared" si="56"/>
        <v>0</v>
      </c>
      <c r="AC117" s="122">
        <f t="shared" si="56"/>
        <v>0</v>
      </c>
      <c r="AD117" s="122">
        <f t="shared" si="56"/>
        <v>0</v>
      </c>
      <c r="AE117" s="122">
        <f t="shared" si="56"/>
        <v>0</v>
      </c>
      <c r="AF117" s="122">
        <f t="shared" si="56"/>
        <v>0</v>
      </c>
      <c r="AG117" s="122">
        <f t="shared" si="56"/>
        <v>0</v>
      </c>
      <c r="AH117" s="122">
        <f t="shared" si="56"/>
        <v>0</v>
      </c>
      <c r="AI117" s="122">
        <f t="shared" si="56"/>
        <v>0</v>
      </c>
    </row>
    <row r="118" spans="1:36" s="21" customFormat="1" ht="15.75" x14ac:dyDescent="0.25">
      <c r="A118" s="135"/>
      <c r="B118" s="135"/>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row>
    <row r="119" spans="1:36" s="5" customFormat="1" ht="18" x14ac:dyDescent="0.25">
      <c r="A119" s="140" t="s">
        <v>133</v>
      </c>
      <c r="B119" s="155"/>
      <c r="C119" s="122"/>
      <c r="D119" s="137"/>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30"/>
    </row>
    <row r="120" spans="1:36" s="5" customFormat="1" ht="18" customHeight="1" x14ac:dyDescent="0.25">
      <c r="A120" s="121" t="s">
        <v>48</v>
      </c>
      <c r="B120" s="121"/>
      <c r="C120" s="122"/>
      <c r="D120" s="137"/>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row>
    <row r="121" spans="1:36" s="5" customFormat="1" ht="18" customHeight="1" x14ac:dyDescent="0.25">
      <c r="A121" s="123" t="s">
        <v>49</v>
      </c>
      <c r="B121" s="123"/>
      <c r="C121" s="122"/>
      <c r="D121" s="137"/>
      <c r="E121" s="122"/>
      <c r="F121" s="122">
        <f t="shared" ref="F121:AI121" si="57">IF(F$44=$B$16,$I$30,0)</f>
        <v>0</v>
      </c>
      <c r="G121" s="122">
        <f t="shared" si="57"/>
        <v>0</v>
      </c>
      <c r="H121" s="122">
        <f t="shared" si="57"/>
        <v>0</v>
      </c>
      <c r="I121" s="122">
        <f t="shared" si="57"/>
        <v>0</v>
      </c>
      <c r="J121" s="122">
        <f t="shared" si="57"/>
        <v>0</v>
      </c>
      <c r="K121" s="122">
        <f t="shared" si="57"/>
        <v>0</v>
      </c>
      <c r="L121" s="122">
        <f t="shared" si="57"/>
        <v>0</v>
      </c>
      <c r="M121" s="122">
        <f t="shared" si="57"/>
        <v>0</v>
      </c>
      <c r="N121" s="122">
        <f t="shared" si="57"/>
        <v>0</v>
      </c>
      <c r="O121" s="122">
        <f t="shared" si="57"/>
        <v>0</v>
      </c>
      <c r="P121" s="122">
        <f t="shared" si="57"/>
        <v>0</v>
      </c>
      <c r="Q121" s="122">
        <f t="shared" si="57"/>
        <v>0</v>
      </c>
      <c r="R121" s="122">
        <f t="shared" si="57"/>
        <v>0</v>
      </c>
      <c r="S121" s="122">
        <f t="shared" si="57"/>
        <v>0</v>
      </c>
      <c r="T121" s="122">
        <f t="shared" si="57"/>
        <v>0</v>
      </c>
      <c r="U121" s="122">
        <f t="shared" si="57"/>
        <v>0</v>
      </c>
      <c r="V121" s="122">
        <f t="shared" si="57"/>
        <v>0</v>
      </c>
      <c r="W121" s="122">
        <f t="shared" si="57"/>
        <v>0</v>
      </c>
      <c r="X121" s="122">
        <f t="shared" si="57"/>
        <v>0</v>
      </c>
      <c r="Y121" s="122">
        <f t="shared" si="57"/>
        <v>0</v>
      </c>
      <c r="Z121" s="122">
        <f t="shared" si="57"/>
        <v>0</v>
      </c>
      <c r="AA121" s="122">
        <f t="shared" si="57"/>
        <v>0</v>
      </c>
      <c r="AB121" s="122">
        <f t="shared" si="57"/>
        <v>0</v>
      </c>
      <c r="AC121" s="122">
        <f t="shared" si="57"/>
        <v>0</v>
      </c>
      <c r="AD121" s="122">
        <f t="shared" si="57"/>
        <v>0</v>
      </c>
      <c r="AE121" s="122">
        <f t="shared" si="57"/>
        <v>0</v>
      </c>
      <c r="AF121" s="122">
        <f t="shared" si="57"/>
        <v>0</v>
      </c>
      <c r="AG121" s="122">
        <f t="shared" si="57"/>
        <v>0</v>
      </c>
      <c r="AH121" s="122">
        <f t="shared" si="57"/>
        <v>0</v>
      </c>
      <c r="AI121" s="122">
        <f t="shared" si="57"/>
        <v>0</v>
      </c>
    </row>
    <row r="122" spans="1:36" s="5" customFormat="1" ht="18" customHeight="1" x14ac:dyDescent="0.25">
      <c r="A122" s="124" t="s">
        <v>50</v>
      </c>
      <c r="B122" s="124"/>
      <c r="C122" s="122"/>
      <c r="D122" s="137"/>
      <c r="E122" s="122"/>
      <c r="F122" s="122">
        <f t="shared" ref="F122:AI122" si="58">F$133</f>
        <v>0</v>
      </c>
      <c r="G122" s="122">
        <f t="shared" si="58"/>
        <v>0</v>
      </c>
      <c r="H122" s="122">
        <f t="shared" si="58"/>
        <v>0</v>
      </c>
      <c r="I122" s="122">
        <f t="shared" si="58"/>
        <v>0</v>
      </c>
      <c r="J122" s="122">
        <f t="shared" si="58"/>
        <v>0</v>
      </c>
      <c r="K122" s="122">
        <f t="shared" si="58"/>
        <v>0</v>
      </c>
      <c r="L122" s="122">
        <f t="shared" si="58"/>
        <v>0</v>
      </c>
      <c r="M122" s="122">
        <f t="shared" si="58"/>
        <v>0</v>
      </c>
      <c r="N122" s="122">
        <f t="shared" si="58"/>
        <v>0</v>
      </c>
      <c r="O122" s="122">
        <f t="shared" si="58"/>
        <v>0</v>
      </c>
      <c r="P122" s="122">
        <f t="shared" si="58"/>
        <v>0</v>
      </c>
      <c r="Q122" s="122">
        <f t="shared" si="58"/>
        <v>0</v>
      </c>
      <c r="R122" s="122">
        <f t="shared" si="58"/>
        <v>0</v>
      </c>
      <c r="S122" s="122">
        <f t="shared" si="58"/>
        <v>0</v>
      </c>
      <c r="T122" s="122">
        <f t="shared" si="58"/>
        <v>0</v>
      </c>
      <c r="U122" s="122">
        <f t="shared" si="58"/>
        <v>0</v>
      </c>
      <c r="V122" s="122">
        <f t="shared" si="58"/>
        <v>0</v>
      </c>
      <c r="W122" s="122">
        <f t="shared" si="58"/>
        <v>0</v>
      </c>
      <c r="X122" s="122">
        <f t="shared" si="58"/>
        <v>0</v>
      </c>
      <c r="Y122" s="122">
        <f t="shared" si="58"/>
        <v>0</v>
      </c>
      <c r="Z122" s="122">
        <f t="shared" si="58"/>
        <v>0</v>
      </c>
      <c r="AA122" s="122">
        <f t="shared" si="58"/>
        <v>0</v>
      </c>
      <c r="AB122" s="122">
        <f t="shared" si="58"/>
        <v>0</v>
      </c>
      <c r="AC122" s="122">
        <f t="shared" si="58"/>
        <v>0</v>
      </c>
      <c r="AD122" s="122">
        <f t="shared" si="58"/>
        <v>0</v>
      </c>
      <c r="AE122" s="122">
        <f t="shared" si="58"/>
        <v>0</v>
      </c>
      <c r="AF122" s="122">
        <f t="shared" si="58"/>
        <v>0</v>
      </c>
      <c r="AG122" s="122">
        <f t="shared" si="58"/>
        <v>0</v>
      </c>
      <c r="AH122" s="122">
        <f t="shared" si="58"/>
        <v>0</v>
      </c>
      <c r="AI122" s="122">
        <f t="shared" si="58"/>
        <v>0</v>
      </c>
    </row>
    <row r="123" spans="1:36" s="5" customFormat="1" ht="18" customHeight="1" x14ac:dyDescent="0.25">
      <c r="A123" s="125" t="s">
        <v>51</v>
      </c>
      <c r="B123" s="125"/>
      <c r="C123" s="122"/>
      <c r="D123" s="137"/>
      <c r="E123" s="122"/>
      <c r="F123" s="122">
        <f>F121+F122</f>
        <v>0</v>
      </c>
      <c r="G123" s="122">
        <f t="shared" ref="G123:AI123" si="59">G121+G122</f>
        <v>0</v>
      </c>
      <c r="H123" s="122">
        <f t="shared" si="59"/>
        <v>0</v>
      </c>
      <c r="I123" s="122">
        <f t="shared" si="59"/>
        <v>0</v>
      </c>
      <c r="J123" s="122">
        <f t="shared" si="59"/>
        <v>0</v>
      </c>
      <c r="K123" s="122">
        <f t="shared" si="59"/>
        <v>0</v>
      </c>
      <c r="L123" s="122">
        <f t="shared" si="59"/>
        <v>0</v>
      </c>
      <c r="M123" s="122">
        <f t="shared" si="59"/>
        <v>0</v>
      </c>
      <c r="N123" s="122">
        <f t="shared" si="59"/>
        <v>0</v>
      </c>
      <c r="O123" s="122">
        <f t="shared" si="59"/>
        <v>0</v>
      </c>
      <c r="P123" s="122">
        <f t="shared" si="59"/>
        <v>0</v>
      </c>
      <c r="Q123" s="122">
        <f t="shared" si="59"/>
        <v>0</v>
      </c>
      <c r="R123" s="122">
        <f t="shared" si="59"/>
        <v>0</v>
      </c>
      <c r="S123" s="122">
        <f t="shared" si="59"/>
        <v>0</v>
      </c>
      <c r="T123" s="122">
        <f t="shared" si="59"/>
        <v>0</v>
      </c>
      <c r="U123" s="122">
        <f t="shared" si="59"/>
        <v>0</v>
      </c>
      <c r="V123" s="122">
        <f t="shared" si="59"/>
        <v>0</v>
      </c>
      <c r="W123" s="122">
        <f t="shared" si="59"/>
        <v>0</v>
      </c>
      <c r="X123" s="122">
        <f t="shared" si="59"/>
        <v>0</v>
      </c>
      <c r="Y123" s="122">
        <f t="shared" si="59"/>
        <v>0</v>
      </c>
      <c r="Z123" s="122">
        <f t="shared" si="59"/>
        <v>0</v>
      </c>
      <c r="AA123" s="122">
        <f t="shared" si="59"/>
        <v>0</v>
      </c>
      <c r="AB123" s="122">
        <f t="shared" si="59"/>
        <v>0</v>
      </c>
      <c r="AC123" s="122">
        <f t="shared" si="59"/>
        <v>0</v>
      </c>
      <c r="AD123" s="122">
        <f t="shared" si="59"/>
        <v>0</v>
      </c>
      <c r="AE123" s="122">
        <f t="shared" si="59"/>
        <v>0</v>
      </c>
      <c r="AF123" s="122">
        <f t="shared" si="59"/>
        <v>0</v>
      </c>
      <c r="AG123" s="122">
        <f t="shared" si="59"/>
        <v>0</v>
      </c>
      <c r="AH123" s="122">
        <f t="shared" si="59"/>
        <v>0</v>
      </c>
      <c r="AI123" s="122">
        <f t="shared" si="59"/>
        <v>0</v>
      </c>
    </row>
    <row r="124" spans="1:36" s="5" customFormat="1" ht="18" customHeight="1" x14ac:dyDescent="0.25">
      <c r="A124" s="126"/>
      <c r="B124" s="126"/>
      <c r="C124" s="122"/>
      <c r="D124" s="137"/>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row>
    <row r="125" spans="1:36" s="21" customFormat="1" ht="18" customHeight="1" x14ac:dyDescent="0.25">
      <c r="A125" s="92" t="s">
        <v>60</v>
      </c>
      <c r="B125" s="93"/>
      <c r="C125" s="94"/>
      <c r="D125" s="94"/>
      <c r="E125" s="94"/>
      <c r="F125" s="94">
        <f>F112+F117+F123</f>
        <v>0</v>
      </c>
      <c r="G125" s="94">
        <f t="shared" ref="G125:AI125" si="60">G112+G117+G123</f>
        <v>0</v>
      </c>
      <c r="H125" s="94">
        <f t="shared" si="60"/>
        <v>0</v>
      </c>
      <c r="I125" s="94">
        <f t="shared" si="60"/>
        <v>0</v>
      </c>
      <c r="J125" s="94">
        <f t="shared" si="60"/>
        <v>0</v>
      </c>
      <c r="K125" s="94">
        <f t="shared" si="60"/>
        <v>0</v>
      </c>
      <c r="L125" s="94">
        <f t="shared" si="60"/>
        <v>0</v>
      </c>
      <c r="M125" s="94">
        <f t="shared" si="60"/>
        <v>0</v>
      </c>
      <c r="N125" s="94">
        <f t="shared" si="60"/>
        <v>0</v>
      </c>
      <c r="O125" s="94">
        <f t="shared" si="60"/>
        <v>0</v>
      </c>
      <c r="P125" s="94">
        <f t="shared" si="60"/>
        <v>0</v>
      </c>
      <c r="Q125" s="94">
        <f t="shared" si="60"/>
        <v>0</v>
      </c>
      <c r="R125" s="94">
        <f t="shared" si="60"/>
        <v>0</v>
      </c>
      <c r="S125" s="94">
        <f t="shared" si="60"/>
        <v>0</v>
      </c>
      <c r="T125" s="94">
        <f t="shared" si="60"/>
        <v>0</v>
      </c>
      <c r="U125" s="94">
        <f t="shared" si="60"/>
        <v>0</v>
      </c>
      <c r="V125" s="94">
        <f t="shared" si="60"/>
        <v>0</v>
      </c>
      <c r="W125" s="94">
        <f t="shared" si="60"/>
        <v>0</v>
      </c>
      <c r="X125" s="94">
        <f t="shared" si="60"/>
        <v>0</v>
      </c>
      <c r="Y125" s="94">
        <f t="shared" si="60"/>
        <v>0</v>
      </c>
      <c r="Z125" s="94">
        <f t="shared" si="60"/>
        <v>0</v>
      </c>
      <c r="AA125" s="94">
        <f t="shared" si="60"/>
        <v>0</v>
      </c>
      <c r="AB125" s="94">
        <f t="shared" si="60"/>
        <v>0</v>
      </c>
      <c r="AC125" s="94">
        <f t="shared" si="60"/>
        <v>0</v>
      </c>
      <c r="AD125" s="94">
        <f t="shared" si="60"/>
        <v>0</v>
      </c>
      <c r="AE125" s="94">
        <f t="shared" si="60"/>
        <v>0</v>
      </c>
      <c r="AF125" s="94">
        <f t="shared" si="60"/>
        <v>0</v>
      </c>
      <c r="AG125" s="94">
        <f t="shared" si="60"/>
        <v>0</v>
      </c>
      <c r="AH125" s="94">
        <f t="shared" si="60"/>
        <v>0</v>
      </c>
      <c r="AI125" s="94">
        <f t="shared" si="60"/>
        <v>0</v>
      </c>
    </row>
    <row r="126" spans="1:36" s="21" customFormat="1" ht="18" customHeight="1" x14ac:dyDescent="0.25">
      <c r="A126" s="121" t="s">
        <v>59</v>
      </c>
      <c r="B126" s="121"/>
      <c r="C126" s="129"/>
      <c r="D126" s="137"/>
      <c r="E126" s="129"/>
      <c r="F126" s="129">
        <f>E126+F125</f>
        <v>0</v>
      </c>
      <c r="G126" s="129">
        <f t="shared" ref="G126:AD126" si="61">F126+G125</f>
        <v>0</v>
      </c>
      <c r="H126" s="129">
        <f t="shared" si="61"/>
        <v>0</v>
      </c>
      <c r="I126" s="129">
        <f t="shared" si="61"/>
        <v>0</v>
      </c>
      <c r="J126" s="129">
        <f t="shared" si="61"/>
        <v>0</v>
      </c>
      <c r="K126" s="129">
        <f t="shared" si="61"/>
        <v>0</v>
      </c>
      <c r="L126" s="129">
        <f t="shared" si="61"/>
        <v>0</v>
      </c>
      <c r="M126" s="129">
        <f t="shared" si="61"/>
        <v>0</v>
      </c>
      <c r="N126" s="129">
        <f t="shared" si="61"/>
        <v>0</v>
      </c>
      <c r="O126" s="129">
        <f t="shared" si="61"/>
        <v>0</v>
      </c>
      <c r="P126" s="129">
        <f t="shared" si="61"/>
        <v>0</v>
      </c>
      <c r="Q126" s="129">
        <f t="shared" si="61"/>
        <v>0</v>
      </c>
      <c r="R126" s="129">
        <f t="shared" si="61"/>
        <v>0</v>
      </c>
      <c r="S126" s="129">
        <f t="shared" si="61"/>
        <v>0</v>
      </c>
      <c r="T126" s="129">
        <f t="shared" si="61"/>
        <v>0</v>
      </c>
      <c r="U126" s="129">
        <f t="shared" si="61"/>
        <v>0</v>
      </c>
      <c r="V126" s="129">
        <f t="shared" si="61"/>
        <v>0</v>
      </c>
      <c r="W126" s="129">
        <f t="shared" si="61"/>
        <v>0</v>
      </c>
      <c r="X126" s="129">
        <f t="shared" si="61"/>
        <v>0</v>
      </c>
      <c r="Y126" s="129">
        <f t="shared" si="61"/>
        <v>0</v>
      </c>
      <c r="Z126" s="129">
        <f t="shared" si="61"/>
        <v>0</v>
      </c>
      <c r="AA126" s="129">
        <f t="shared" si="61"/>
        <v>0</v>
      </c>
      <c r="AB126" s="129">
        <f t="shared" si="61"/>
        <v>0</v>
      </c>
      <c r="AC126" s="129">
        <f t="shared" si="61"/>
        <v>0</v>
      </c>
      <c r="AD126" s="129">
        <f t="shared" si="61"/>
        <v>0</v>
      </c>
      <c r="AE126" s="129">
        <f>AD126+AE125</f>
        <v>0</v>
      </c>
      <c r="AF126" s="129">
        <f t="shared" ref="AF126:AI126" si="62">AE126+AF125</f>
        <v>0</v>
      </c>
      <c r="AG126" s="129">
        <f t="shared" si="62"/>
        <v>0</v>
      </c>
      <c r="AH126" s="129">
        <f t="shared" si="62"/>
        <v>0</v>
      </c>
      <c r="AI126" s="129">
        <f t="shared" si="62"/>
        <v>0</v>
      </c>
    </row>
    <row r="127" spans="1:36" s="5" customFormat="1" ht="19.5" customHeight="1" x14ac:dyDescent="0.25">
      <c r="A127" s="126"/>
      <c r="B127" s="126"/>
      <c r="C127" s="122"/>
      <c r="D127" s="137"/>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row>
    <row r="128" spans="1:36" s="5" customFormat="1" ht="21" customHeight="1" x14ac:dyDescent="0.4">
      <c r="A128" s="158" t="s">
        <v>134</v>
      </c>
      <c r="B128" s="130"/>
      <c r="C128" s="130"/>
      <c r="D128" s="137"/>
      <c r="E128" s="130"/>
      <c r="F128" s="130"/>
      <c r="G128" s="130"/>
      <c r="H128" s="130"/>
      <c r="I128" s="130"/>
      <c r="J128" s="130"/>
      <c r="K128" s="130"/>
      <c r="L128" s="130"/>
      <c r="M128" s="130"/>
      <c r="N128" s="130"/>
      <c r="O128" s="130"/>
      <c r="P128" s="131"/>
      <c r="Q128" s="131"/>
      <c r="R128" s="131"/>
      <c r="S128" s="131"/>
      <c r="T128" s="131"/>
      <c r="U128" s="131"/>
      <c r="V128" s="131"/>
      <c r="W128" s="131"/>
      <c r="X128" s="131"/>
      <c r="Y128" s="131"/>
      <c r="Z128" s="132"/>
      <c r="AA128" s="132"/>
      <c r="AB128" s="132"/>
      <c r="AC128" s="132"/>
      <c r="AD128" s="132"/>
      <c r="AE128" s="132"/>
      <c r="AF128" s="132"/>
      <c r="AG128" s="132"/>
      <c r="AH128" s="132"/>
      <c r="AI128" s="132"/>
    </row>
    <row r="129" spans="1:35" s="5" customFormat="1" ht="15.75" x14ac:dyDescent="0.25">
      <c r="A129" s="132"/>
      <c r="B129" s="132"/>
      <c r="C129" s="133"/>
      <c r="D129" s="137"/>
      <c r="E129" s="133"/>
      <c r="F129" s="134" t="s">
        <v>3</v>
      </c>
      <c r="G129" s="134" t="s">
        <v>3</v>
      </c>
      <c r="H129" s="134" t="s">
        <v>3</v>
      </c>
      <c r="I129" s="134" t="s">
        <v>3</v>
      </c>
      <c r="J129" s="134" t="s">
        <v>3</v>
      </c>
      <c r="K129" s="134" t="s">
        <v>3</v>
      </c>
      <c r="L129" s="134" t="s">
        <v>3</v>
      </c>
      <c r="M129" s="134" t="s">
        <v>3</v>
      </c>
      <c r="N129" s="134" t="s">
        <v>3</v>
      </c>
      <c r="O129" s="134" t="s">
        <v>3</v>
      </c>
      <c r="P129" s="134" t="s">
        <v>3</v>
      </c>
      <c r="Q129" s="134" t="s">
        <v>3</v>
      </c>
      <c r="R129" s="134" t="s">
        <v>3</v>
      </c>
      <c r="S129" s="134" t="s">
        <v>3</v>
      </c>
      <c r="T129" s="134" t="s">
        <v>3</v>
      </c>
      <c r="U129" s="134" t="s">
        <v>3</v>
      </c>
      <c r="V129" s="134" t="s">
        <v>3</v>
      </c>
      <c r="W129" s="134" t="s">
        <v>3</v>
      </c>
      <c r="X129" s="134" t="s">
        <v>3</v>
      </c>
      <c r="Y129" s="134" t="s">
        <v>3</v>
      </c>
      <c r="Z129" s="134" t="s">
        <v>3</v>
      </c>
      <c r="AA129" s="134" t="s">
        <v>3</v>
      </c>
      <c r="AB129" s="134" t="s">
        <v>3</v>
      </c>
      <c r="AC129" s="134" t="s">
        <v>3</v>
      </c>
      <c r="AD129" s="134" t="s">
        <v>3</v>
      </c>
      <c r="AE129" s="134" t="s">
        <v>3</v>
      </c>
      <c r="AF129" s="134" t="s">
        <v>3</v>
      </c>
      <c r="AG129" s="134" t="s">
        <v>3</v>
      </c>
      <c r="AH129" s="134" t="s">
        <v>3</v>
      </c>
      <c r="AI129" s="134" t="s">
        <v>3</v>
      </c>
    </row>
    <row r="130" spans="1:35" s="5" customFormat="1" ht="15.75" x14ac:dyDescent="0.25">
      <c r="A130" s="135"/>
      <c r="B130" s="135"/>
      <c r="C130" s="133"/>
      <c r="D130" s="137"/>
      <c r="E130" s="133"/>
      <c r="F130" s="136">
        <v>1</v>
      </c>
      <c r="G130" s="136">
        <v>2</v>
      </c>
      <c r="H130" s="136">
        <v>3</v>
      </c>
      <c r="I130" s="136">
        <v>4</v>
      </c>
      <c r="J130" s="136">
        <v>5</v>
      </c>
      <c r="K130" s="136">
        <v>6</v>
      </c>
      <c r="L130" s="136">
        <v>7</v>
      </c>
      <c r="M130" s="136">
        <v>8</v>
      </c>
      <c r="N130" s="136">
        <v>9</v>
      </c>
      <c r="O130" s="136">
        <v>10</v>
      </c>
      <c r="P130" s="136">
        <v>11</v>
      </c>
      <c r="Q130" s="136">
        <v>12</v>
      </c>
      <c r="R130" s="136">
        <v>13</v>
      </c>
      <c r="S130" s="136">
        <v>14</v>
      </c>
      <c r="T130" s="136">
        <v>15</v>
      </c>
      <c r="U130" s="136">
        <v>16</v>
      </c>
      <c r="V130" s="136">
        <v>17</v>
      </c>
      <c r="W130" s="136">
        <v>18</v>
      </c>
      <c r="X130" s="136">
        <v>19</v>
      </c>
      <c r="Y130" s="136">
        <v>20</v>
      </c>
      <c r="Z130" s="136">
        <v>21</v>
      </c>
      <c r="AA130" s="136">
        <v>22</v>
      </c>
      <c r="AB130" s="136">
        <v>23</v>
      </c>
      <c r="AC130" s="136">
        <v>24</v>
      </c>
      <c r="AD130" s="136">
        <v>25</v>
      </c>
      <c r="AE130" s="136">
        <v>26</v>
      </c>
      <c r="AF130" s="136">
        <v>27</v>
      </c>
      <c r="AG130" s="136">
        <v>28</v>
      </c>
      <c r="AH130" s="136">
        <v>29</v>
      </c>
      <c r="AI130" s="136">
        <v>30</v>
      </c>
    </row>
    <row r="131" spans="1:35" s="5" customFormat="1" ht="15.75" x14ac:dyDescent="0.25">
      <c r="A131" s="132" t="s">
        <v>41</v>
      </c>
      <c r="B131" s="132"/>
      <c r="C131" s="133"/>
      <c r="D131" s="137"/>
      <c r="E131" s="133"/>
      <c r="F131" s="133">
        <f t="shared" ref="F131:AI131" si="63">IF(F$44=$B$16,F$121,+E135)</f>
        <v>0</v>
      </c>
      <c r="G131" s="133">
        <f t="shared" si="63"/>
        <v>0</v>
      </c>
      <c r="H131" s="133">
        <f t="shared" si="63"/>
        <v>0</v>
      </c>
      <c r="I131" s="133">
        <f t="shared" si="63"/>
        <v>0</v>
      </c>
      <c r="J131" s="133">
        <f t="shared" si="63"/>
        <v>0</v>
      </c>
      <c r="K131" s="133">
        <f t="shared" si="63"/>
        <v>0</v>
      </c>
      <c r="L131" s="133">
        <f t="shared" si="63"/>
        <v>0</v>
      </c>
      <c r="M131" s="133">
        <f t="shared" si="63"/>
        <v>0</v>
      </c>
      <c r="N131" s="133">
        <f t="shared" si="63"/>
        <v>0</v>
      </c>
      <c r="O131" s="133">
        <f t="shared" si="63"/>
        <v>0</v>
      </c>
      <c r="P131" s="133">
        <f t="shared" si="63"/>
        <v>0</v>
      </c>
      <c r="Q131" s="133">
        <f t="shared" si="63"/>
        <v>0</v>
      </c>
      <c r="R131" s="133">
        <f t="shared" si="63"/>
        <v>0</v>
      </c>
      <c r="S131" s="133">
        <f t="shared" si="63"/>
        <v>0</v>
      </c>
      <c r="T131" s="133">
        <f t="shared" si="63"/>
        <v>0</v>
      </c>
      <c r="U131" s="133">
        <f t="shared" si="63"/>
        <v>0</v>
      </c>
      <c r="V131" s="133">
        <f t="shared" si="63"/>
        <v>0</v>
      </c>
      <c r="W131" s="133">
        <f t="shared" si="63"/>
        <v>0</v>
      </c>
      <c r="X131" s="133">
        <f t="shared" si="63"/>
        <v>0</v>
      </c>
      <c r="Y131" s="133">
        <f t="shared" si="63"/>
        <v>0</v>
      </c>
      <c r="Z131" s="133">
        <f t="shared" si="63"/>
        <v>0</v>
      </c>
      <c r="AA131" s="133">
        <f t="shared" si="63"/>
        <v>0</v>
      </c>
      <c r="AB131" s="133">
        <f t="shared" si="63"/>
        <v>0</v>
      </c>
      <c r="AC131" s="133">
        <f t="shared" si="63"/>
        <v>0</v>
      </c>
      <c r="AD131" s="133">
        <f t="shared" si="63"/>
        <v>0</v>
      </c>
      <c r="AE131" s="133">
        <f t="shared" si="63"/>
        <v>0</v>
      </c>
      <c r="AF131" s="133">
        <f t="shared" si="63"/>
        <v>0</v>
      </c>
      <c r="AG131" s="133">
        <f t="shared" si="63"/>
        <v>0</v>
      </c>
      <c r="AH131" s="133">
        <f t="shared" si="63"/>
        <v>0</v>
      </c>
      <c r="AI131" s="133">
        <f t="shared" si="63"/>
        <v>0</v>
      </c>
    </row>
    <row r="132" spans="1:35" s="5" customFormat="1" ht="15.75" x14ac:dyDescent="0.25">
      <c r="A132" s="132" t="s">
        <v>42</v>
      </c>
      <c r="B132" s="132"/>
      <c r="C132" s="133"/>
      <c r="D132" s="137"/>
      <c r="E132" s="133"/>
      <c r="F132" s="133">
        <f t="shared" ref="F132:AI132" si="64">IF(AND(F$44&gt;$B$16, F$44&lt;=$B$16+$I$28),PMT($I$27,$I$28,$I$30),0)</f>
        <v>0</v>
      </c>
      <c r="G132" s="133">
        <f t="shared" si="64"/>
        <v>0</v>
      </c>
      <c r="H132" s="133">
        <f t="shared" si="64"/>
        <v>0</v>
      </c>
      <c r="I132" s="133">
        <f t="shared" si="64"/>
        <v>0</v>
      </c>
      <c r="J132" s="133">
        <f t="shared" si="64"/>
        <v>0</v>
      </c>
      <c r="K132" s="133">
        <f t="shared" si="64"/>
        <v>0</v>
      </c>
      <c r="L132" s="133">
        <f t="shared" si="64"/>
        <v>0</v>
      </c>
      <c r="M132" s="133">
        <f t="shared" si="64"/>
        <v>0</v>
      </c>
      <c r="N132" s="133">
        <f t="shared" si="64"/>
        <v>0</v>
      </c>
      <c r="O132" s="133">
        <f t="shared" si="64"/>
        <v>0</v>
      </c>
      <c r="P132" s="133">
        <f t="shared" si="64"/>
        <v>0</v>
      </c>
      <c r="Q132" s="133">
        <f t="shared" si="64"/>
        <v>0</v>
      </c>
      <c r="R132" s="133">
        <f t="shared" si="64"/>
        <v>0</v>
      </c>
      <c r="S132" s="133">
        <f t="shared" si="64"/>
        <v>0</v>
      </c>
      <c r="T132" s="133">
        <f t="shared" si="64"/>
        <v>0</v>
      </c>
      <c r="U132" s="133">
        <f t="shared" si="64"/>
        <v>0</v>
      </c>
      <c r="V132" s="133">
        <f t="shared" si="64"/>
        <v>0</v>
      </c>
      <c r="W132" s="133">
        <f t="shared" si="64"/>
        <v>0</v>
      </c>
      <c r="X132" s="133">
        <f t="shared" si="64"/>
        <v>0</v>
      </c>
      <c r="Y132" s="133">
        <f t="shared" si="64"/>
        <v>0</v>
      </c>
      <c r="Z132" s="133">
        <f t="shared" si="64"/>
        <v>0</v>
      </c>
      <c r="AA132" s="133">
        <f t="shared" si="64"/>
        <v>0</v>
      </c>
      <c r="AB132" s="133">
        <f t="shared" si="64"/>
        <v>0</v>
      </c>
      <c r="AC132" s="133">
        <f t="shared" si="64"/>
        <v>0</v>
      </c>
      <c r="AD132" s="133">
        <f t="shared" si="64"/>
        <v>0</v>
      </c>
      <c r="AE132" s="133">
        <f t="shared" si="64"/>
        <v>0</v>
      </c>
      <c r="AF132" s="133">
        <f t="shared" si="64"/>
        <v>0</v>
      </c>
      <c r="AG132" s="133">
        <f t="shared" si="64"/>
        <v>0</v>
      </c>
      <c r="AH132" s="133">
        <f t="shared" si="64"/>
        <v>0</v>
      </c>
      <c r="AI132" s="133">
        <f t="shared" si="64"/>
        <v>0</v>
      </c>
    </row>
    <row r="133" spans="1:35" s="5" customFormat="1" ht="15.75" x14ac:dyDescent="0.25">
      <c r="A133" s="132" t="s">
        <v>43</v>
      </c>
      <c r="B133" s="132"/>
      <c r="C133" s="133"/>
      <c r="D133" s="137"/>
      <c r="E133" s="133"/>
      <c r="F133" s="133">
        <f>F132-F134</f>
        <v>0</v>
      </c>
      <c r="G133" s="133">
        <f t="shared" ref="G133:AI133" si="65">G132-G134</f>
        <v>0</v>
      </c>
      <c r="H133" s="133">
        <f t="shared" si="65"/>
        <v>0</v>
      </c>
      <c r="I133" s="133">
        <f t="shared" si="65"/>
        <v>0</v>
      </c>
      <c r="J133" s="133">
        <f t="shared" si="65"/>
        <v>0</v>
      </c>
      <c r="K133" s="133">
        <f t="shared" si="65"/>
        <v>0</v>
      </c>
      <c r="L133" s="133">
        <f t="shared" si="65"/>
        <v>0</v>
      </c>
      <c r="M133" s="133">
        <f t="shared" si="65"/>
        <v>0</v>
      </c>
      <c r="N133" s="133">
        <f t="shared" si="65"/>
        <v>0</v>
      </c>
      <c r="O133" s="133">
        <f t="shared" si="65"/>
        <v>0</v>
      </c>
      <c r="P133" s="133">
        <f t="shared" si="65"/>
        <v>0</v>
      </c>
      <c r="Q133" s="133">
        <f t="shared" si="65"/>
        <v>0</v>
      </c>
      <c r="R133" s="133">
        <f t="shared" si="65"/>
        <v>0</v>
      </c>
      <c r="S133" s="133">
        <f t="shared" si="65"/>
        <v>0</v>
      </c>
      <c r="T133" s="133">
        <f t="shared" si="65"/>
        <v>0</v>
      </c>
      <c r="U133" s="133">
        <f t="shared" si="65"/>
        <v>0</v>
      </c>
      <c r="V133" s="133">
        <f t="shared" si="65"/>
        <v>0</v>
      </c>
      <c r="W133" s="133">
        <f t="shared" si="65"/>
        <v>0</v>
      </c>
      <c r="X133" s="133">
        <f t="shared" si="65"/>
        <v>0</v>
      </c>
      <c r="Y133" s="133">
        <f t="shared" si="65"/>
        <v>0</v>
      </c>
      <c r="Z133" s="133">
        <f t="shared" si="65"/>
        <v>0</v>
      </c>
      <c r="AA133" s="133">
        <f t="shared" si="65"/>
        <v>0</v>
      </c>
      <c r="AB133" s="133">
        <f t="shared" si="65"/>
        <v>0</v>
      </c>
      <c r="AC133" s="133">
        <f t="shared" si="65"/>
        <v>0</v>
      </c>
      <c r="AD133" s="133">
        <f t="shared" si="65"/>
        <v>0</v>
      </c>
      <c r="AE133" s="133">
        <f t="shared" si="65"/>
        <v>0</v>
      </c>
      <c r="AF133" s="133">
        <f t="shared" si="65"/>
        <v>0</v>
      </c>
      <c r="AG133" s="133">
        <f t="shared" si="65"/>
        <v>0</v>
      </c>
      <c r="AH133" s="133">
        <f t="shared" si="65"/>
        <v>0</v>
      </c>
      <c r="AI133" s="133">
        <f t="shared" si="65"/>
        <v>0</v>
      </c>
    </row>
    <row r="134" spans="1:35" s="5" customFormat="1" ht="15.75" x14ac:dyDescent="0.25">
      <c r="A134" s="132" t="s">
        <v>44</v>
      </c>
      <c r="B134" s="132"/>
      <c r="C134" s="133"/>
      <c r="D134" s="137"/>
      <c r="E134" s="133"/>
      <c r="F134" s="133">
        <f t="shared" ref="F134:AI134" si="66">IF(AND(F$44&gt;$B$16, F$44&lt;=$B$16+$I$28),-F$131*$I$27,0)</f>
        <v>0</v>
      </c>
      <c r="G134" s="133">
        <f t="shared" si="66"/>
        <v>0</v>
      </c>
      <c r="H134" s="133">
        <f t="shared" si="66"/>
        <v>0</v>
      </c>
      <c r="I134" s="133">
        <f t="shared" si="66"/>
        <v>0</v>
      </c>
      <c r="J134" s="133">
        <f t="shared" si="66"/>
        <v>0</v>
      </c>
      <c r="K134" s="133">
        <f t="shared" si="66"/>
        <v>0</v>
      </c>
      <c r="L134" s="133">
        <f t="shared" si="66"/>
        <v>0</v>
      </c>
      <c r="M134" s="133">
        <f t="shared" si="66"/>
        <v>0</v>
      </c>
      <c r="N134" s="133">
        <f t="shared" si="66"/>
        <v>0</v>
      </c>
      <c r="O134" s="133">
        <f t="shared" si="66"/>
        <v>0</v>
      </c>
      <c r="P134" s="133">
        <f t="shared" si="66"/>
        <v>0</v>
      </c>
      <c r="Q134" s="133">
        <f t="shared" si="66"/>
        <v>0</v>
      </c>
      <c r="R134" s="133">
        <f t="shared" si="66"/>
        <v>0</v>
      </c>
      <c r="S134" s="133">
        <f t="shared" si="66"/>
        <v>0</v>
      </c>
      <c r="T134" s="133">
        <f t="shared" si="66"/>
        <v>0</v>
      </c>
      <c r="U134" s="133">
        <f t="shared" si="66"/>
        <v>0</v>
      </c>
      <c r="V134" s="133">
        <f t="shared" si="66"/>
        <v>0</v>
      </c>
      <c r="W134" s="133">
        <f t="shared" si="66"/>
        <v>0</v>
      </c>
      <c r="X134" s="133">
        <f t="shared" si="66"/>
        <v>0</v>
      </c>
      <c r="Y134" s="133">
        <f t="shared" si="66"/>
        <v>0</v>
      </c>
      <c r="Z134" s="133">
        <f t="shared" si="66"/>
        <v>0</v>
      </c>
      <c r="AA134" s="133">
        <f t="shared" si="66"/>
        <v>0</v>
      </c>
      <c r="AB134" s="133">
        <f t="shared" si="66"/>
        <v>0</v>
      </c>
      <c r="AC134" s="133">
        <f t="shared" si="66"/>
        <v>0</v>
      </c>
      <c r="AD134" s="133">
        <f t="shared" si="66"/>
        <v>0</v>
      </c>
      <c r="AE134" s="133">
        <f t="shared" si="66"/>
        <v>0</v>
      </c>
      <c r="AF134" s="133">
        <f t="shared" si="66"/>
        <v>0</v>
      </c>
      <c r="AG134" s="133">
        <f t="shared" si="66"/>
        <v>0</v>
      </c>
      <c r="AH134" s="133">
        <f t="shared" si="66"/>
        <v>0</v>
      </c>
      <c r="AI134" s="133">
        <f t="shared" si="66"/>
        <v>0</v>
      </c>
    </row>
    <row r="135" spans="1:35" s="21" customFormat="1" ht="15.75" x14ac:dyDescent="0.25">
      <c r="A135" s="135" t="s">
        <v>45</v>
      </c>
      <c r="B135" s="135"/>
      <c r="C135" s="137"/>
      <c r="D135" s="137"/>
      <c r="E135" s="137"/>
      <c r="F135" s="137">
        <f>F131+F133</f>
        <v>0</v>
      </c>
      <c r="G135" s="137">
        <f t="shared" ref="G135:AI135" si="67">G131+G133</f>
        <v>0</v>
      </c>
      <c r="H135" s="137">
        <f t="shared" si="67"/>
        <v>0</v>
      </c>
      <c r="I135" s="137">
        <f t="shared" si="67"/>
        <v>0</v>
      </c>
      <c r="J135" s="137">
        <f t="shared" si="67"/>
        <v>0</v>
      </c>
      <c r="K135" s="137">
        <f t="shared" si="67"/>
        <v>0</v>
      </c>
      <c r="L135" s="137">
        <f t="shared" si="67"/>
        <v>0</v>
      </c>
      <c r="M135" s="137">
        <f>M131+M133</f>
        <v>0</v>
      </c>
      <c r="N135" s="137">
        <f t="shared" si="67"/>
        <v>0</v>
      </c>
      <c r="O135" s="137">
        <f t="shared" si="67"/>
        <v>0</v>
      </c>
      <c r="P135" s="137">
        <f t="shared" si="67"/>
        <v>0</v>
      </c>
      <c r="Q135" s="137">
        <f t="shared" si="67"/>
        <v>0</v>
      </c>
      <c r="R135" s="137">
        <f t="shared" si="67"/>
        <v>0</v>
      </c>
      <c r="S135" s="137">
        <f t="shared" si="67"/>
        <v>0</v>
      </c>
      <c r="T135" s="137">
        <f t="shared" si="67"/>
        <v>0</v>
      </c>
      <c r="U135" s="137">
        <f t="shared" si="67"/>
        <v>0</v>
      </c>
      <c r="V135" s="137">
        <f t="shared" si="67"/>
        <v>0</v>
      </c>
      <c r="W135" s="137">
        <f t="shared" si="67"/>
        <v>0</v>
      </c>
      <c r="X135" s="137">
        <f t="shared" si="67"/>
        <v>0</v>
      </c>
      <c r="Y135" s="137">
        <f t="shared" si="67"/>
        <v>0</v>
      </c>
      <c r="Z135" s="137">
        <f t="shared" si="67"/>
        <v>0</v>
      </c>
      <c r="AA135" s="137">
        <f t="shared" si="67"/>
        <v>0</v>
      </c>
      <c r="AB135" s="137">
        <f t="shared" si="67"/>
        <v>0</v>
      </c>
      <c r="AC135" s="137">
        <f t="shared" si="67"/>
        <v>0</v>
      </c>
      <c r="AD135" s="137">
        <f t="shared" si="67"/>
        <v>0</v>
      </c>
      <c r="AE135" s="137">
        <f t="shared" si="67"/>
        <v>0</v>
      </c>
      <c r="AF135" s="137">
        <f t="shared" si="67"/>
        <v>0</v>
      </c>
      <c r="AG135" s="137">
        <f t="shared" si="67"/>
        <v>0</v>
      </c>
      <c r="AH135" s="137">
        <f t="shared" si="67"/>
        <v>0</v>
      </c>
      <c r="AI135" s="137">
        <f t="shared" si="67"/>
        <v>0</v>
      </c>
    </row>
    <row r="136" spans="1:35" s="5" customFormat="1" x14ac:dyDescent="0.2">
      <c r="C136" s="22"/>
      <c r="U136" s="27"/>
    </row>
    <row r="137" spans="1:35" x14ac:dyDescent="0.2">
      <c r="T137" s="2"/>
      <c r="U137" s="26"/>
    </row>
    <row r="138" spans="1:35" ht="26.25" x14ac:dyDescent="0.4">
      <c r="A138" s="111" t="s">
        <v>135</v>
      </c>
      <c r="B138" s="10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10"/>
      <c r="AA138" s="110"/>
      <c r="AB138" s="110"/>
      <c r="AC138" s="110"/>
      <c r="AD138" s="110"/>
      <c r="AE138" s="110"/>
      <c r="AF138" s="110"/>
      <c r="AG138" s="110"/>
      <c r="AH138" s="110"/>
      <c r="AI138" s="110"/>
    </row>
    <row r="139" spans="1:35" ht="15.75" x14ac:dyDescent="0.25">
      <c r="A139" s="72"/>
      <c r="E139" s="4" t="s">
        <v>3</v>
      </c>
      <c r="F139" s="4" t="s">
        <v>3</v>
      </c>
      <c r="G139" s="4" t="s">
        <v>3</v>
      </c>
      <c r="H139" s="4" t="s">
        <v>3</v>
      </c>
      <c r="I139" s="4" t="s">
        <v>3</v>
      </c>
      <c r="J139" s="4" t="s">
        <v>3</v>
      </c>
      <c r="K139" s="4" t="s">
        <v>3</v>
      </c>
      <c r="L139" s="4" t="s">
        <v>3</v>
      </c>
      <c r="M139" s="4" t="s">
        <v>3</v>
      </c>
      <c r="N139" s="4" t="s">
        <v>3</v>
      </c>
      <c r="O139" s="4" t="s">
        <v>3</v>
      </c>
      <c r="P139" s="4" t="s">
        <v>3</v>
      </c>
      <c r="Q139" s="4" t="s">
        <v>3</v>
      </c>
      <c r="R139" s="4" t="s">
        <v>3</v>
      </c>
      <c r="S139" s="4" t="s">
        <v>3</v>
      </c>
      <c r="T139" s="4" t="s">
        <v>3</v>
      </c>
      <c r="U139" s="4" t="s">
        <v>3</v>
      </c>
      <c r="V139" s="4" t="s">
        <v>3</v>
      </c>
      <c r="W139" s="4" t="s">
        <v>3</v>
      </c>
      <c r="X139" s="4" t="s">
        <v>3</v>
      </c>
      <c r="Y139" s="4" t="s">
        <v>3</v>
      </c>
      <c r="Z139" s="4" t="s">
        <v>3</v>
      </c>
      <c r="AA139" s="4" t="s">
        <v>3</v>
      </c>
      <c r="AB139" s="4" t="s">
        <v>3</v>
      </c>
      <c r="AC139" s="4" t="s">
        <v>3</v>
      </c>
      <c r="AD139" s="4" t="s">
        <v>3</v>
      </c>
      <c r="AE139" s="4" t="s">
        <v>3</v>
      </c>
      <c r="AF139" s="4" t="s">
        <v>3</v>
      </c>
      <c r="AG139" s="4" t="s">
        <v>3</v>
      </c>
      <c r="AH139" s="4" t="s">
        <v>3</v>
      </c>
      <c r="AI139" s="4" t="s">
        <v>3</v>
      </c>
    </row>
    <row r="140" spans="1:35" ht="15.75" x14ac:dyDescent="0.25">
      <c r="A140" s="71"/>
      <c r="B140" s="71"/>
      <c r="E140" s="4">
        <v>0</v>
      </c>
      <c r="F140" s="4">
        <v>1</v>
      </c>
      <c r="G140" s="4">
        <v>2</v>
      </c>
      <c r="H140" s="4">
        <v>3</v>
      </c>
      <c r="I140" s="4">
        <v>4</v>
      </c>
      <c r="J140" s="4">
        <v>5</v>
      </c>
      <c r="K140" s="4">
        <v>6</v>
      </c>
      <c r="L140" s="4">
        <v>7</v>
      </c>
      <c r="M140" s="4">
        <v>8</v>
      </c>
      <c r="N140" s="4">
        <v>9</v>
      </c>
      <c r="O140" s="4">
        <v>10</v>
      </c>
      <c r="P140" s="4">
        <v>11</v>
      </c>
      <c r="Q140" s="4">
        <v>12</v>
      </c>
      <c r="R140" s="4">
        <v>13</v>
      </c>
      <c r="S140" s="4">
        <v>14</v>
      </c>
      <c r="T140" s="4">
        <v>15</v>
      </c>
      <c r="U140" s="4">
        <v>16</v>
      </c>
      <c r="V140" s="4">
        <v>17</v>
      </c>
      <c r="W140" s="4">
        <v>18</v>
      </c>
      <c r="X140" s="4">
        <v>19</v>
      </c>
      <c r="Y140" s="4">
        <v>20</v>
      </c>
      <c r="Z140" s="4">
        <v>21</v>
      </c>
      <c r="AA140" s="4">
        <v>22</v>
      </c>
      <c r="AB140" s="4">
        <v>23</v>
      </c>
      <c r="AC140" s="4">
        <v>24</v>
      </c>
      <c r="AD140" s="4">
        <v>25</v>
      </c>
      <c r="AE140" s="4">
        <v>26</v>
      </c>
      <c r="AF140" s="4">
        <v>27</v>
      </c>
      <c r="AG140" s="4">
        <v>28</v>
      </c>
      <c r="AH140" s="4">
        <v>29</v>
      </c>
      <c r="AI140" s="4">
        <v>30</v>
      </c>
    </row>
    <row r="141" spans="1:35" ht="18" x14ac:dyDescent="0.25">
      <c r="A141" s="169" t="s">
        <v>165</v>
      </c>
      <c r="C141" s="184" t="s">
        <v>200</v>
      </c>
      <c r="T141" s="2"/>
      <c r="U141" s="26"/>
    </row>
    <row r="142" spans="1:35" x14ac:dyDescent="0.2">
      <c r="A142" s="170" t="s">
        <v>171</v>
      </c>
      <c r="B142" s="113">
        <f>'User Inputs'!D39</f>
        <v>0.06</v>
      </c>
      <c r="C142" s="182">
        <f>E142+NPV(B142,F142:AI142)</f>
        <v>0</v>
      </c>
      <c r="E142" s="40">
        <f t="shared" ref="E142:AI142" si="68">IF($B$14="Outside Economy",E$79,0)</f>
        <v>0</v>
      </c>
      <c r="F142" s="40">
        <f t="shared" si="68"/>
        <v>0</v>
      </c>
      <c r="G142" s="40">
        <f t="shared" si="68"/>
        <v>0</v>
      </c>
      <c r="H142" s="40">
        <f t="shared" si="68"/>
        <v>0</v>
      </c>
      <c r="I142" s="40">
        <f t="shared" si="68"/>
        <v>0</v>
      </c>
      <c r="J142" s="40">
        <f t="shared" si="68"/>
        <v>0</v>
      </c>
      <c r="K142" s="40">
        <f t="shared" si="68"/>
        <v>0</v>
      </c>
      <c r="L142" s="40">
        <f t="shared" si="68"/>
        <v>0</v>
      </c>
      <c r="M142" s="40">
        <f t="shared" si="68"/>
        <v>0</v>
      </c>
      <c r="N142" s="40">
        <f t="shared" si="68"/>
        <v>0</v>
      </c>
      <c r="O142" s="40">
        <f t="shared" si="68"/>
        <v>0</v>
      </c>
      <c r="P142" s="40">
        <f t="shared" si="68"/>
        <v>0</v>
      </c>
      <c r="Q142" s="40">
        <f t="shared" si="68"/>
        <v>0</v>
      </c>
      <c r="R142" s="40">
        <f t="shared" si="68"/>
        <v>0</v>
      </c>
      <c r="S142" s="40">
        <f t="shared" si="68"/>
        <v>0</v>
      </c>
      <c r="T142" s="40">
        <f t="shared" si="68"/>
        <v>0</v>
      </c>
      <c r="U142" s="40">
        <f t="shared" si="68"/>
        <v>0</v>
      </c>
      <c r="V142" s="40">
        <f t="shared" si="68"/>
        <v>0</v>
      </c>
      <c r="W142" s="40">
        <f t="shared" si="68"/>
        <v>0</v>
      </c>
      <c r="X142" s="40">
        <f t="shared" si="68"/>
        <v>0</v>
      </c>
      <c r="Y142" s="40">
        <f t="shared" si="68"/>
        <v>0</v>
      </c>
      <c r="Z142" s="40">
        <f t="shared" si="68"/>
        <v>0</v>
      </c>
      <c r="AA142" s="40">
        <f t="shared" si="68"/>
        <v>0</v>
      </c>
      <c r="AB142" s="40">
        <f t="shared" si="68"/>
        <v>0</v>
      </c>
      <c r="AC142" s="40">
        <f t="shared" si="68"/>
        <v>0</v>
      </c>
      <c r="AD142" s="40">
        <f t="shared" si="68"/>
        <v>0</v>
      </c>
      <c r="AE142" s="40">
        <f t="shared" si="68"/>
        <v>0</v>
      </c>
      <c r="AF142" s="40">
        <f t="shared" si="68"/>
        <v>0</v>
      </c>
      <c r="AG142" s="40">
        <f t="shared" si="68"/>
        <v>0</v>
      </c>
      <c r="AH142" s="40">
        <f t="shared" si="68"/>
        <v>0</v>
      </c>
      <c r="AI142" s="40">
        <f t="shared" si="68"/>
        <v>0</v>
      </c>
    </row>
    <row r="143" spans="1:35" x14ac:dyDescent="0.2">
      <c r="A143" s="170" t="s">
        <v>168</v>
      </c>
      <c r="B143" s="113">
        <f>'User Inputs'!D40</f>
        <v>0.06</v>
      </c>
      <c r="C143" s="182">
        <f>E143+NPV(B143,F143:AI143)</f>
        <v>0</v>
      </c>
      <c r="E143" s="40">
        <f t="shared" ref="E143:AI143" si="69">-(E$53+E$97)*(1-$B$37)</f>
        <v>0</v>
      </c>
      <c r="F143" s="40">
        <f t="shared" si="69"/>
        <v>0</v>
      </c>
      <c r="G143" s="40">
        <f t="shared" si="69"/>
        <v>0</v>
      </c>
      <c r="H143" s="40">
        <f t="shared" si="69"/>
        <v>0</v>
      </c>
      <c r="I143" s="40">
        <f t="shared" si="69"/>
        <v>0</v>
      </c>
      <c r="J143" s="40">
        <f t="shared" si="69"/>
        <v>0</v>
      </c>
      <c r="K143" s="40">
        <f t="shared" si="69"/>
        <v>0</v>
      </c>
      <c r="L143" s="40">
        <f t="shared" si="69"/>
        <v>0</v>
      </c>
      <c r="M143" s="40">
        <f t="shared" si="69"/>
        <v>0</v>
      </c>
      <c r="N143" s="40">
        <f t="shared" si="69"/>
        <v>0</v>
      </c>
      <c r="O143" s="40">
        <f t="shared" si="69"/>
        <v>0</v>
      </c>
      <c r="P143" s="40">
        <f t="shared" si="69"/>
        <v>0</v>
      </c>
      <c r="Q143" s="40">
        <f t="shared" si="69"/>
        <v>0</v>
      </c>
      <c r="R143" s="40">
        <f t="shared" si="69"/>
        <v>0</v>
      </c>
      <c r="S143" s="40">
        <f t="shared" si="69"/>
        <v>0</v>
      </c>
      <c r="T143" s="40">
        <f t="shared" si="69"/>
        <v>0</v>
      </c>
      <c r="U143" s="40">
        <f t="shared" si="69"/>
        <v>0</v>
      </c>
      <c r="V143" s="40">
        <f t="shared" si="69"/>
        <v>0</v>
      </c>
      <c r="W143" s="40">
        <f t="shared" si="69"/>
        <v>0</v>
      </c>
      <c r="X143" s="40">
        <f t="shared" si="69"/>
        <v>0</v>
      </c>
      <c r="Y143" s="40">
        <f t="shared" si="69"/>
        <v>0</v>
      </c>
      <c r="Z143" s="40">
        <f t="shared" si="69"/>
        <v>0</v>
      </c>
      <c r="AA143" s="40">
        <f t="shared" si="69"/>
        <v>0</v>
      </c>
      <c r="AB143" s="40">
        <f t="shared" si="69"/>
        <v>0</v>
      </c>
      <c r="AC143" s="40">
        <f t="shared" si="69"/>
        <v>0</v>
      </c>
      <c r="AD143" s="40">
        <f t="shared" si="69"/>
        <v>0</v>
      </c>
      <c r="AE143" s="40">
        <f t="shared" si="69"/>
        <v>0</v>
      </c>
      <c r="AF143" s="40">
        <f t="shared" si="69"/>
        <v>0</v>
      </c>
      <c r="AG143" s="40">
        <f t="shared" si="69"/>
        <v>0</v>
      </c>
      <c r="AH143" s="40">
        <f t="shared" si="69"/>
        <v>0</v>
      </c>
      <c r="AI143" s="40">
        <f t="shared" si="69"/>
        <v>0</v>
      </c>
    </row>
    <row r="144" spans="1:35" x14ac:dyDescent="0.2">
      <c r="A144" s="170" t="s">
        <v>167</v>
      </c>
      <c r="B144" s="113">
        <f>'User Inputs'!D41</f>
        <v>0.06</v>
      </c>
      <c r="C144" s="182">
        <f>E144+NPV(B144,F144:AI144)</f>
        <v>0</v>
      </c>
      <c r="E144" s="40">
        <f t="shared" ref="E144:AI144" si="70">-E$88*ABS($G$32-1)-E$134*ABS($I$32-1)</f>
        <v>0</v>
      </c>
      <c r="F144" s="40">
        <f t="shared" si="70"/>
        <v>0</v>
      </c>
      <c r="G144" s="40">
        <f t="shared" si="70"/>
        <v>0</v>
      </c>
      <c r="H144" s="40">
        <f t="shared" si="70"/>
        <v>0</v>
      </c>
      <c r="I144" s="40">
        <f t="shared" si="70"/>
        <v>0</v>
      </c>
      <c r="J144" s="40">
        <f t="shared" si="70"/>
        <v>0</v>
      </c>
      <c r="K144" s="40">
        <f t="shared" si="70"/>
        <v>0</v>
      </c>
      <c r="L144" s="40">
        <f t="shared" si="70"/>
        <v>0</v>
      </c>
      <c r="M144" s="40">
        <f t="shared" si="70"/>
        <v>0</v>
      </c>
      <c r="N144" s="40">
        <f t="shared" si="70"/>
        <v>0</v>
      </c>
      <c r="O144" s="40">
        <f t="shared" si="70"/>
        <v>0</v>
      </c>
      <c r="P144" s="40">
        <f t="shared" si="70"/>
        <v>0</v>
      </c>
      <c r="Q144" s="40">
        <f t="shared" si="70"/>
        <v>0</v>
      </c>
      <c r="R144" s="40">
        <f t="shared" si="70"/>
        <v>0</v>
      </c>
      <c r="S144" s="40">
        <f t="shared" si="70"/>
        <v>0</v>
      </c>
      <c r="T144" s="40">
        <f t="shared" si="70"/>
        <v>0</v>
      </c>
      <c r="U144" s="40">
        <f t="shared" si="70"/>
        <v>0</v>
      </c>
      <c r="V144" s="40">
        <f t="shared" si="70"/>
        <v>0</v>
      </c>
      <c r="W144" s="40">
        <f t="shared" si="70"/>
        <v>0</v>
      </c>
      <c r="X144" s="40">
        <f t="shared" si="70"/>
        <v>0</v>
      </c>
      <c r="Y144" s="40">
        <f t="shared" si="70"/>
        <v>0</v>
      </c>
      <c r="Z144" s="40">
        <f t="shared" si="70"/>
        <v>0</v>
      </c>
      <c r="AA144" s="40">
        <f t="shared" si="70"/>
        <v>0</v>
      </c>
      <c r="AB144" s="40">
        <f t="shared" si="70"/>
        <v>0</v>
      </c>
      <c r="AC144" s="40">
        <f t="shared" si="70"/>
        <v>0</v>
      </c>
      <c r="AD144" s="40">
        <f t="shared" si="70"/>
        <v>0</v>
      </c>
      <c r="AE144" s="40">
        <f t="shared" si="70"/>
        <v>0</v>
      </c>
      <c r="AF144" s="40">
        <f t="shared" si="70"/>
        <v>0</v>
      </c>
      <c r="AG144" s="40">
        <f t="shared" si="70"/>
        <v>0</v>
      </c>
      <c r="AH144" s="40">
        <f t="shared" si="70"/>
        <v>0</v>
      </c>
      <c r="AI144" s="40">
        <f t="shared" si="70"/>
        <v>0</v>
      </c>
    </row>
    <row r="145" spans="1:35" ht="18" x14ac:dyDescent="0.25">
      <c r="A145" s="171" t="s">
        <v>154</v>
      </c>
      <c r="B145" s="9"/>
      <c r="C145" s="183"/>
      <c r="T145" s="2"/>
      <c r="U145" s="26"/>
    </row>
    <row r="146" spans="1:35" x14ac:dyDescent="0.2">
      <c r="A146" s="170" t="s">
        <v>169</v>
      </c>
      <c r="B146" s="113">
        <f>'User Inputs'!D43</f>
        <v>0.06</v>
      </c>
      <c r="C146" s="182">
        <f>E146+NPV(B146,F146:AI146)</f>
        <v>89051.121492146864</v>
      </c>
      <c r="E146" s="40">
        <f t="shared" ref="E146:AI146" si="71">IF($B$14="Local Economy",E$79,0)</f>
        <v>-840000</v>
      </c>
      <c r="F146" s="40">
        <f t="shared" si="71"/>
        <v>57068.617416305991</v>
      </c>
      <c r="G146" s="40">
        <f t="shared" si="71"/>
        <v>55262.944346306031</v>
      </c>
      <c r="H146" s="40">
        <f t="shared" si="71"/>
        <v>53451.026839563012</v>
      </c>
      <c r="I146" s="40">
        <f t="shared" si="71"/>
        <v>51632.59280350952</v>
      </c>
      <c r="J146" s="40">
        <f t="shared" si="71"/>
        <v>49807.365092901164</v>
      </c>
      <c r="K146" s="40">
        <f t="shared" si="71"/>
        <v>47975.061392180389</v>
      </c>
      <c r="L146" s="40">
        <f t="shared" si="71"/>
        <v>46135.3940951158</v>
      </c>
      <c r="M146" s="40">
        <f t="shared" si="71"/>
        <v>44288.070181651361</v>
      </c>
      <c r="N146" s="40">
        <f t="shared" si="71"/>
        <v>42432.791091899067</v>
      </c>
      <c r="O146" s="40">
        <f t="shared" si="71"/>
        <v>-29430.747402794434</v>
      </c>
      <c r="P146" s="40">
        <f t="shared" si="71"/>
        <v>38697.144668224006</v>
      </c>
      <c r="Q146" s="40">
        <f t="shared" si="71"/>
        <v>36816.151339917575</v>
      </c>
      <c r="R146" s="40">
        <f t="shared" si="71"/>
        <v>34925.950573422248</v>
      </c>
      <c r="S146" s="40">
        <f t="shared" si="71"/>
        <v>33026.214114692804</v>
      </c>
      <c r="T146" s="40">
        <f t="shared" si="71"/>
        <v>31116.607349854661</v>
      </c>
      <c r="U146" s="40">
        <f t="shared" si="71"/>
        <v>158929.87174087678</v>
      </c>
      <c r="V146" s="40">
        <f t="shared" si="71"/>
        <v>156999.49433931994</v>
      </c>
      <c r="W146" s="40">
        <f t="shared" si="71"/>
        <v>155058.20313348784</v>
      </c>
      <c r="X146" s="40">
        <f t="shared" si="71"/>
        <v>153105.63655501575</v>
      </c>
      <c r="Y146" s="40">
        <f t="shared" si="71"/>
        <v>81141.425900218834</v>
      </c>
      <c r="Z146" s="40">
        <f t="shared" si="71"/>
        <v>199640.77631669166</v>
      </c>
      <c r="AA146" s="40">
        <f t="shared" si="71"/>
        <v>202074.58669310779</v>
      </c>
      <c r="AB146" s="40">
        <f t="shared" si="71"/>
        <v>204543.14502227193</v>
      </c>
      <c r="AC146" s="40">
        <f t="shared" si="71"/>
        <v>207046.85250259395</v>
      </c>
      <c r="AD146" s="40">
        <f t="shared" si="71"/>
        <v>209586.11378994066</v>
      </c>
      <c r="AE146" s="40">
        <f t="shared" si="71"/>
        <v>0</v>
      </c>
      <c r="AF146" s="40">
        <f t="shared" si="71"/>
        <v>0</v>
      </c>
      <c r="AG146" s="40">
        <f t="shared" si="71"/>
        <v>0</v>
      </c>
      <c r="AH146" s="40">
        <f t="shared" si="71"/>
        <v>0</v>
      </c>
      <c r="AI146" s="40">
        <f t="shared" si="71"/>
        <v>0</v>
      </c>
    </row>
    <row r="147" spans="1:35" x14ac:dyDescent="0.2">
      <c r="A147" s="170" t="s">
        <v>153</v>
      </c>
      <c r="B147" s="113">
        <f>'User Inputs'!D44</f>
        <v>0.06</v>
      </c>
      <c r="C147" s="182">
        <f>E147+NPV(B147,F147:AI147)</f>
        <v>0</v>
      </c>
      <c r="E147" s="40">
        <f t="shared" ref="E147:AI147" si="72">E125</f>
        <v>0</v>
      </c>
      <c r="F147" s="40">
        <f t="shared" si="72"/>
        <v>0</v>
      </c>
      <c r="G147" s="40">
        <f t="shared" si="72"/>
        <v>0</v>
      </c>
      <c r="H147" s="40">
        <f t="shared" si="72"/>
        <v>0</v>
      </c>
      <c r="I147" s="40">
        <f t="shared" si="72"/>
        <v>0</v>
      </c>
      <c r="J147" s="40">
        <f t="shared" si="72"/>
        <v>0</v>
      </c>
      <c r="K147" s="40">
        <f t="shared" si="72"/>
        <v>0</v>
      </c>
      <c r="L147" s="40">
        <f t="shared" si="72"/>
        <v>0</v>
      </c>
      <c r="M147" s="40">
        <f t="shared" si="72"/>
        <v>0</v>
      </c>
      <c r="N147" s="40">
        <f t="shared" si="72"/>
        <v>0</v>
      </c>
      <c r="O147" s="40">
        <f t="shared" si="72"/>
        <v>0</v>
      </c>
      <c r="P147" s="40">
        <f t="shared" si="72"/>
        <v>0</v>
      </c>
      <c r="Q147" s="40">
        <f t="shared" si="72"/>
        <v>0</v>
      </c>
      <c r="R147" s="40">
        <f t="shared" si="72"/>
        <v>0</v>
      </c>
      <c r="S147" s="40">
        <f t="shared" si="72"/>
        <v>0</v>
      </c>
      <c r="T147" s="40">
        <f t="shared" si="72"/>
        <v>0</v>
      </c>
      <c r="U147" s="40">
        <f t="shared" si="72"/>
        <v>0</v>
      </c>
      <c r="V147" s="40">
        <f t="shared" si="72"/>
        <v>0</v>
      </c>
      <c r="W147" s="40">
        <f t="shared" si="72"/>
        <v>0</v>
      </c>
      <c r="X147" s="40">
        <f t="shared" si="72"/>
        <v>0</v>
      </c>
      <c r="Y147" s="40">
        <f t="shared" si="72"/>
        <v>0</v>
      </c>
      <c r="Z147" s="40">
        <f t="shared" si="72"/>
        <v>0</v>
      </c>
      <c r="AA147" s="40">
        <f t="shared" si="72"/>
        <v>0</v>
      </c>
      <c r="AB147" s="40">
        <f t="shared" si="72"/>
        <v>0</v>
      </c>
      <c r="AC147" s="40">
        <f t="shared" si="72"/>
        <v>0</v>
      </c>
      <c r="AD147" s="40">
        <f t="shared" si="72"/>
        <v>0</v>
      </c>
      <c r="AE147" s="40">
        <f t="shared" si="72"/>
        <v>0</v>
      </c>
      <c r="AF147" s="40">
        <f t="shared" si="72"/>
        <v>0</v>
      </c>
      <c r="AG147" s="40">
        <f t="shared" si="72"/>
        <v>0</v>
      </c>
      <c r="AH147" s="40">
        <f t="shared" si="72"/>
        <v>0</v>
      </c>
      <c r="AI147" s="40">
        <f t="shared" si="72"/>
        <v>0</v>
      </c>
    </row>
    <row r="148" spans="1:35" x14ac:dyDescent="0.2">
      <c r="A148" s="170" t="s">
        <v>159</v>
      </c>
      <c r="B148" s="113">
        <f>'User Inputs'!D45</f>
        <v>0.06</v>
      </c>
      <c r="C148" s="182">
        <f>E148+NPV(B148,F148:AI148)</f>
        <v>385230.13359343511</v>
      </c>
      <c r="E148" s="40">
        <f t="shared" ref="E148:AI148" si="73">-(E$53+E$97)*$B$37</f>
        <v>0</v>
      </c>
      <c r="F148" s="40">
        <f t="shared" si="73"/>
        <v>26214.3</v>
      </c>
      <c r="G148" s="40">
        <f t="shared" si="73"/>
        <v>26604.893070000002</v>
      </c>
      <c r="H148" s="40">
        <f t="shared" si="73"/>
        <v>27001.305976743002</v>
      </c>
      <c r="I148" s="40">
        <f t="shared" si="73"/>
        <v>27403.625435796472</v>
      </c>
      <c r="J148" s="40">
        <f t="shared" si="73"/>
        <v>27811.939454789841</v>
      </c>
      <c r="K148" s="40">
        <f t="shared" si="73"/>
        <v>28226.337352666211</v>
      </c>
      <c r="L148" s="40">
        <f t="shared" si="73"/>
        <v>28646.90977922094</v>
      </c>
      <c r="M148" s="40">
        <f t="shared" si="73"/>
        <v>29073.74873493132</v>
      </c>
      <c r="N148" s="40">
        <f t="shared" si="73"/>
        <v>29506.9475910818</v>
      </c>
      <c r="O148" s="40">
        <f t="shared" si="73"/>
        <v>29946.60111018892</v>
      </c>
      <c r="P148" s="40">
        <f t="shared" si="73"/>
        <v>30392.805466730733</v>
      </c>
      <c r="Q148" s="40">
        <f t="shared" si="73"/>
        <v>30845.65826818502</v>
      </c>
      <c r="R148" s="40">
        <f t="shared" si="73"/>
        <v>31305.25857638098</v>
      </c>
      <c r="S148" s="40">
        <f t="shared" si="73"/>
        <v>31771.70692916905</v>
      </c>
      <c r="T148" s="40">
        <f t="shared" si="73"/>
        <v>32245.10536241368</v>
      </c>
      <c r="U148" s="40">
        <f t="shared" si="73"/>
        <v>32725.557432313628</v>
      </c>
      <c r="V148" s="40">
        <f t="shared" si="73"/>
        <v>33213.168238055114</v>
      </c>
      <c r="W148" s="40">
        <f t="shared" si="73"/>
        <v>33708.044444802137</v>
      </c>
      <c r="X148" s="40">
        <f t="shared" si="73"/>
        <v>34210.294307029682</v>
      </c>
      <c r="Y148" s="40">
        <f t="shared" si="73"/>
        <v>34720.027692204414</v>
      </c>
      <c r="Z148" s="40">
        <f t="shared" si="73"/>
        <v>35237.356104818267</v>
      </c>
      <c r="AA148" s="40">
        <f t="shared" si="73"/>
        <v>35762.392710780055</v>
      </c>
      <c r="AB148" s="40">
        <f t="shared" si="73"/>
        <v>36295.252362170686</v>
      </c>
      <c r="AC148" s="40">
        <f t="shared" si="73"/>
        <v>36836.05162236702</v>
      </c>
      <c r="AD148" s="40">
        <f t="shared" si="73"/>
        <v>37384.908791540285</v>
      </c>
      <c r="AE148" s="40">
        <f t="shared" si="73"/>
        <v>0</v>
      </c>
      <c r="AF148" s="40">
        <f t="shared" si="73"/>
        <v>0</v>
      </c>
      <c r="AG148" s="40">
        <f t="shared" si="73"/>
        <v>0</v>
      </c>
      <c r="AH148" s="40">
        <f t="shared" si="73"/>
        <v>0</v>
      </c>
      <c r="AI148" s="40">
        <f t="shared" si="73"/>
        <v>0</v>
      </c>
    </row>
    <row r="149" spans="1:35" x14ac:dyDescent="0.2">
      <c r="A149" s="170" t="s">
        <v>161</v>
      </c>
      <c r="B149" s="113">
        <f>'User Inputs'!D46</f>
        <v>0.06</v>
      </c>
      <c r="C149" s="182">
        <f>E149+NPV(B149,F149:AI149)</f>
        <v>493965.81249489583</v>
      </c>
      <c r="E149" s="40">
        <f t="shared" ref="E149:AI149" si="74">-E$88*$G$32-E$134*$I$32</f>
        <v>0</v>
      </c>
      <c r="F149" s="40">
        <f t="shared" si="74"/>
        <v>75600</v>
      </c>
      <c r="G149" s="40">
        <f t="shared" si="74"/>
        <v>72352.015044978354</v>
      </c>
      <c r="H149" s="40">
        <f t="shared" si="74"/>
        <v>68909.150992655414</v>
      </c>
      <c r="I149" s="40">
        <f t="shared" si="74"/>
        <v>65259.715097193104</v>
      </c>
      <c r="J149" s="40">
        <f t="shared" si="74"/>
        <v>61391.313048003045</v>
      </c>
      <c r="K149" s="40">
        <f t="shared" si="74"/>
        <v>57290.806875861585</v>
      </c>
      <c r="L149" s="40">
        <f t="shared" si="74"/>
        <v>52944.270333391643</v>
      </c>
      <c r="M149" s="40">
        <f t="shared" si="74"/>
        <v>48336.941598373502</v>
      </c>
      <c r="N149" s="40">
        <f t="shared" si="74"/>
        <v>43453.173139254264</v>
      </c>
      <c r="O149" s="40">
        <f t="shared" si="74"/>
        <v>38276.378572587877</v>
      </c>
      <c r="P149" s="40">
        <f t="shared" si="74"/>
        <v>32788.976331921505</v>
      </c>
      <c r="Q149" s="40">
        <f t="shared" si="74"/>
        <v>26972.32995681516</v>
      </c>
      <c r="R149" s="40">
        <f t="shared" si="74"/>
        <v>20806.684799202427</v>
      </c>
      <c r="S149" s="40">
        <f t="shared" si="74"/>
        <v>14271.100932132931</v>
      </c>
      <c r="T149" s="40">
        <f t="shared" si="74"/>
        <v>7343.3820330392673</v>
      </c>
      <c r="U149" s="40">
        <f t="shared" si="74"/>
        <v>0</v>
      </c>
      <c r="V149" s="40">
        <f t="shared" si="74"/>
        <v>0</v>
      </c>
      <c r="W149" s="40">
        <f t="shared" si="74"/>
        <v>0</v>
      </c>
      <c r="X149" s="40">
        <f t="shared" si="74"/>
        <v>0</v>
      </c>
      <c r="Y149" s="40">
        <f t="shared" si="74"/>
        <v>0</v>
      </c>
      <c r="Z149" s="40">
        <f t="shared" si="74"/>
        <v>0</v>
      </c>
      <c r="AA149" s="40">
        <f t="shared" si="74"/>
        <v>0</v>
      </c>
      <c r="AB149" s="40">
        <f t="shared" si="74"/>
        <v>0</v>
      </c>
      <c r="AC149" s="40">
        <f t="shared" si="74"/>
        <v>0</v>
      </c>
      <c r="AD149" s="40">
        <f t="shared" si="74"/>
        <v>0</v>
      </c>
      <c r="AE149" s="40">
        <f t="shared" si="74"/>
        <v>0</v>
      </c>
      <c r="AF149" s="40">
        <f t="shared" si="74"/>
        <v>0</v>
      </c>
      <c r="AG149" s="40">
        <f t="shared" si="74"/>
        <v>0</v>
      </c>
      <c r="AH149" s="40">
        <f t="shared" si="74"/>
        <v>0</v>
      </c>
      <c r="AI149" s="40">
        <f t="shared" si="74"/>
        <v>0</v>
      </c>
    </row>
    <row r="150" spans="1:35" x14ac:dyDescent="0.2">
      <c r="A150" s="170" t="s">
        <v>160</v>
      </c>
      <c r="B150" s="113">
        <f>'User Inputs'!D47</f>
        <v>0.06</v>
      </c>
      <c r="C150" s="182">
        <f>E150+NPV(B150,F150:AI150)</f>
        <v>127833.56158268398</v>
      </c>
      <c r="E150" s="40">
        <f t="shared" ref="E150:AI150" si="75">-E$54-E$98</f>
        <v>0</v>
      </c>
      <c r="F150" s="40">
        <f t="shared" si="75"/>
        <v>10000</v>
      </c>
      <c r="G150" s="40">
        <f t="shared" si="75"/>
        <v>10000</v>
      </c>
      <c r="H150" s="40">
        <f t="shared" si="75"/>
        <v>10000</v>
      </c>
      <c r="I150" s="40">
        <f t="shared" si="75"/>
        <v>10000</v>
      </c>
      <c r="J150" s="40">
        <f t="shared" si="75"/>
        <v>10000</v>
      </c>
      <c r="K150" s="40">
        <f t="shared" si="75"/>
        <v>10000</v>
      </c>
      <c r="L150" s="40">
        <f t="shared" si="75"/>
        <v>10000</v>
      </c>
      <c r="M150" s="40">
        <f t="shared" si="75"/>
        <v>10000</v>
      </c>
      <c r="N150" s="40">
        <f t="shared" si="75"/>
        <v>10000</v>
      </c>
      <c r="O150" s="40">
        <f t="shared" si="75"/>
        <v>10000</v>
      </c>
      <c r="P150" s="40">
        <f t="shared" si="75"/>
        <v>10000</v>
      </c>
      <c r="Q150" s="40">
        <f t="shared" si="75"/>
        <v>10000</v>
      </c>
      <c r="R150" s="40">
        <f t="shared" si="75"/>
        <v>10000</v>
      </c>
      <c r="S150" s="40">
        <f t="shared" si="75"/>
        <v>10000</v>
      </c>
      <c r="T150" s="40">
        <f t="shared" si="75"/>
        <v>10000</v>
      </c>
      <c r="U150" s="40">
        <f t="shared" si="75"/>
        <v>10000</v>
      </c>
      <c r="V150" s="40">
        <f t="shared" si="75"/>
        <v>10000</v>
      </c>
      <c r="W150" s="40">
        <f t="shared" si="75"/>
        <v>10000</v>
      </c>
      <c r="X150" s="40">
        <f t="shared" si="75"/>
        <v>10000</v>
      </c>
      <c r="Y150" s="40">
        <f t="shared" si="75"/>
        <v>10000</v>
      </c>
      <c r="Z150" s="40">
        <f t="shared" si="75"/>
        <v>10000</v>
      </c>
      <c r="AA150" s="40">
        <f t="shared" si="75"/>
        <v>10000</v>
      </c>
      <c r="AB150" s="40">
        <f t="shared" si="75"/>
        <v>10000</v>
      </c>
      <c r="AC150" s="40">
        <f t="shared" si="75"/>
        <v>10000</v>
      </c>
      <c r="AD150" s="40">
        <f t="shared" si="75"/>
        <v>10000</v>
      </c>
      <c r="AE150" s="40">
        <f t="shared" si="75"/>
        <v>0</v>
      </c>
      <c r="AF150" s="40">
        <f t="shared" si="75"/>
        <v>0</v>
      </c>
      <c r="AG150" s="40">
        <f t="shared" si="75"/>
        <v>0</v>
      </c>
      <c r="AH150" s="40">
        <f t="shared" si="75"/>
        <v>0</v>
      </c>
      <c r="AI150" s="40">
        <f t="shared" si="75"/>
        <v>0</v>
      </c>
    </row>
    <row r="151" spans="1:35" x14ac:dyDescent="0.2">
      <c r="C151" s="183"/>
      <c r="T151" s="2"/>
      <c r="U151" s="26"/>
    </row>
    <row r="152" spans="1:35" ht="15.75" x14ac:dyDescent="0.25">
      <c r="A152" s="112" t="s">
        <v>83</v>
      </c>
      <c r="B152" s="188" t="s">
        <v>235</v>
      </c>
      <c r="C152" s="182">
        <f>C153+C154</f>
        <v>1096080.6291631612</v>
      </c>
      <c r="E152" s="40">
        <f t="shared" ref="E152:AI152" si="76">SUM(E142:E150)</f>
        <v>-840000</v>
      </c>
      <c r="F152" s="40">
        <f t="shared" si="76"/>
        <v>168882.91741630598</v>
      </c>
      <c r="G152" s="40">
        <f t="shared" si="76"/>
        <v>164219.85246128438</v>
      </c>
      <c r="H152" s="40">
        <f t="shared" si="76"/>
        <v>159361.48380896141</v>
      </c>
      <c r="I152" s="40">
        <f t="shared" si="76"/>
        <v>154295.93333649909</v>
      </c>
      <c r="J152" s="40">
        <f t="shared" si="76"/>
        <v>149010.61759569406</v>
      </c>
      <c r="K152" s="40">
        <f t="shared" si="76"/>
        <v>143492.20562070818</v>
      </c>
      <c r="L152" s="40">
        <f t="shared" si="76"/>
        <v>137726.57420772838</v>
      </c>
      <c r="M152" s="40">
        <f t="shared" si="76"/>
        <v>131698.76051495617</v>
      </c>
      <c r="N152" s="40">
        <f t="shared" si="76"/>
        <v>125392.91182223512</v>
      </c>
      <c r="O152" s="40">
        <f t="shared" si="76"/>
        <v>48792.23227998236</v>
      </c>
      <c r="P152" s="40">
        <f t="shared" si="76"/>
        <v>111878.92646687623</v>
      </c>
      <c r="Q152" s="40">
        <f t="shared" si="76"/>
        <v>104634.13956491776</v>
      </c>
      <c r="R152" s="40">
        <f t="shared" si="76"/>
        <v>97037.893949005651</v>
      </c>
      <c r="S152" s="40">
        <f t="shared" si="76"/>
        <v>89069.021975994779</v>
      </c>
      <c r="T152" s="40">
        <f t="shared" si="76"/>
        <v>80705.094745307608</v>
      </c>
      <c r="U152" s="40">
        <f t="shared" si="76"/>
        <v>201655.42917319041</v>
      </c>
      <c r="V152" s="40">
        <f t="shared" si="76"/>
        <v>200212.66257737504</v>
      </c>
      <c r="W152" s="40">
        <f t="shared" si="76"/>
        <v>198766.24757828997</v>
      </c>
      <c r="X152" s="40">
        <f t="shared" si="76"/>
        <v>197315.93086204544</v>
      </c>
      <c r="Y152" s="40">
        <f t="shared" si="76"/>
        <v>125861.45359242325</v>
      </c>
      <c r="Z152" s="40">
        <f t="shared" si="76"/>
        <v>244878.13242150992</v>
      </c>
      <c r="AA152" s="40">
        <f t="shared" si="76"/>
        <v>247836.97940388785</v>
      </c>
      <c r="AB152" s="40">
        <f t="shared" si="76"/>
        <v>250838.39738444262</v>
      </c>
      <c r="AC152" s="40">
        <f t="shared" si="76"/>
        <v>253882.90412496097</v>
      </c>
      <c r="AD152" s="40">
        <f t="shared" si="76"/>
        <v>256971.02258148094</v>
      </c>
      <c r="AE152" s="40">
        <f t="shared" si="76"/>
        <v>0</v>
      </c>
      <c r="AF152" s="40">
        <f t="shared" si="76"/>
        <v>0</v>
      </c>
      <c r="AG152" s="40">
        <f t="shared" si="76"/>
        <v>0</v>
      </c>
      <c r="AH152" s="40">
        <f t="shared" si="76"/>
        <v>0</v>
      </c>
      <c r="AI152" s="40">
        <f t="shared" si="76"/>
        <v>0</v>
      </c>
    </row>
    <row r="153" spans="1:35" x14ac:dyDescent="0.2">
      <c r="A153" s="37" t="s">
        <v>154</v>
      </c>
      <c r="B153" s="113">
        <f>'User Inputs'!D42</f>
        <v>0.06</v>
      </c>
      <c r="C153" s="182">
        <f t="shared" ref="C153:C154" si="77">E153+NPV(B153,F153:AI153)</f>
        <v>1096080.6291631612</v>
      </c>
      <c r="E153" s="40">
        <f>SUM(E146:E150)</f>
        <v>-840000</v>
      </c>
      <c r="F153" s="40">
        <f t="shared" ref="F153:AI153" si="78">SUM(F146:F150)</f>
        <v>168882.91741630598</v>
      </c>
      <c r="G153" s="40">
        <f t="shared" si="78"/>
        <v>164219.85246128438</v>
      </c>
      <c r="H153" s="40">
        <f t="shared" si="78"/>
        <v>159361.48380896141</v>
      </c>
      <c r="I153" s="40">
        <f t="shared" si="78"/>
        <v>154295.93333649909</v>
      </c>
      <c r="J153" s="40">
        <f t="shared" si="78"/>
        <v>149010.61759569406</v>
      </c>
      <c r="K153" s="40">
        <f t="shared" si="78"/>
        <v>143492.20562070818</v>
      </c>
      <c r="L153" s="40">
        <f t="shared" si="78"/>
        <v>137726.57420772838</v>
      </c>
      <c r="M153" s="40">
        <f t="shared" si="78"/>
        <v>131698.76051495617</v>
      </c>
      <c r="N153" s="40">
        <f t="shared" si="78"/>
        <v>125392.91182223512</v>
      </c>
      <c r="O153" s="40">
        <f t="shared" si="78"/>
        <v>48792.23227998236</v>
      </c>
      <c r="P153" s="40">
        <f t="shared" si="78"/>
        <v>111878.92646687623</v>
      </c>
      <c r="Q153" s="40">
        <f t="shared" si="78"/>
        <v>104634.13956491776</v>
      </c>
      <c r="R153" s="40">
        <f t="shared" si="78"/>
        <v>97037.893949005651</v>
      </c>
      <c r="S153" s="40">
        <f t="shared" si="78"/>
        <v>89069.021975994779</v>
      </c>
      <c r="T153" s="40">
        <f t="shared" si="78"/>
        <v>80705.094745307608</v>
      </c>
      <c r="U153" s="40">
        <f t="shared" si="78"/>
        <v>201655.42917319041</v>
      </c>
      <c r="V153" s="40">
        <f t="shared" si="78"/>
        <v>200212.66257737504</v>
      </c>
      <c r="W153" s="40">
        <f t="shared" si="78"/>
        <v>198766.24757828997</v>
      </c>
      <c r="X153" s="40">
        <f t="shared" si="78"/>
        <v>197315.93086204544</v>
      </c>
      <c r="Y153" s="40">
        <f t="shared" si="78"/>
        <v>125861.45359242325</v>
      </c>
      <c r="Z153" s="40">
        <f t="shared" si="78"/>
        <v>244878.13242150992</v>
      </c>
      <c r="AA153" s="40">
        <f t="shared" si="78"/>
        <v>247836.97940388785</v>
      </c>
      <c r="AB153" s="40">
        <f t="shared" si="78"/>
        <v>250838.39738444262</v>
      </c>
      <c r="AC153" s="40">
        <f t="shared" si="78"/>
        <v>253882.90412496097</v>
      </c>
      <c r="AD153" s="40">
        <f t="shared" si="78"/>
        <v>256971.02258148094</v>
      </c>
      <c r="AE153" s="40">
        <f t="shared" si="78"/>
        <v>0</v>
      </c>
      <c r="AF153" s="40">
        <f t="shared" si="78"/>
        <v>0</v>
      </c>
      <c r="AG153" s="40">
        <f t="shared" si="78"/>
        <v>0</v>
      </c>
      <c r="AH153" s="40">
        <f t="shared" si="78"/>
        <v>0</v>
      </c>
      <c r="AI153" s="40">
        <f t="shared" si="78"/>
        <v>0</v>
      </c>
    </row>
    <row r="154" spans="1:35" x14ac:dyDescent="0.2">
      <c r="A154" s="37" t="s">
        <v>165</v>
      </c>
      <c r="B154" s="113">
        <f>'User Inputs'!D38</f>
        <v>0.06</v>
      </c>
      <c r="C154" s="182">
        <f t="shared" si="77"/>
        <v>0</v>
      </c>
      <c r="E154" s="40">
        <f t="shared" ref="E154:AI154" si="79">SUM(E142:E144)</f>
        <v>0</v>
      </c>
      <c r="F154" s="40">
        <f t="shared" si="79"/>
        <v>0</v>
      </c>
      <c r="G154" s="40">
        <f t="shared" si="79"/>
        <v>0</v>
      </c>
      <c r="H154" s="40">
        <f t="shared" si="79"/>
        <v>0</v>
      </c>
      <c r="I154" s="40">
        <f t="shared" si="79"/>
        <v>0</v>
      </c>
      <c r="J154" s="40">
        <f t="shared" si="79"/>
        <v>0</v>
      </c>
      <c r="K154" s="40">
        <f t="shared" si="79"/>
        <v>0</v>
      </c>
      <c r="L154" s="40">
        <f t="shared" si="79"/>
        <v>0</v>
      </c>
      <c r="M154" s="40">
        <f t="shared" si="79"/>
        <v>0</v>
      </c>
      <c r="N154" s="40">
        <f t="shared" si="79"/>
        <v>0</v>
      </c>
      <c r="O154" s="40">
        <f t="shared" si="79"/>
        <v>0</v>
      </c>
      <c r="P154" s="40">
        <f t="shared" si="79"/>
        <v>0</v>
      </c>
      <c r="Q154" s="40">
        <f t="shared" si="79"/>
        <v>0</v>
      </c>
      <c r="R154" s="40">
        <f t="shared" si="79"/>
        <v>0</v>
      </c>
      <c r="S154" s="40">
        <f t="shared" si="79"/>
        <v>0</v>
      </c>
      <c r="T154" s="40">
        <f t="shared" si="79"/>
        <v>0</v>
      </c>
      <c r="U154" s="40">
        <f t="shared" si="79"/>
        <v>0</v>
      </c>
      <c r="V154" s="40">
        <f t="shared" si="79"/>
        <v>0</v>
      </c>
      <c r="W154" s="40">
        <f t="shared" si="79"/>
        <v>0</v>
      </c>
      <c r="X154" s="40">
        <f t="shared" si="79"/>
        <v>0</v>
      </c>
      <c r="Y154" s="40">
        <f t="shared" si="79"/>
        <v>0</v>
      </c>
      <c r="Z154" s="40">
        <f t="shared" si="79"/>
        <v>0</v>
      </c>
      <c r="AA154" s="40">
        <f t="shared" si="79"/>
        <v>0</v>
      </c>
      <c r="AB154" s="40">
        <f t="shared" si="79"/>
        <v>0</v>
      </c>
      <c r="AC154" s="40">
        <f t="shared" si="79"/>
        <v>0</v>
      </c>
      <c r="AD154" s="40">
        <f t="shared" si="79"/>
        <v>0</v>
      </c>
      <c r="AE154" s="40">
        <f t="shared" si="79"/>
        <v>0</v>
      </c>
      <c r="AF154" s="40">
        <f t="shared" si="79"/>
        <v>0</v>
      </c>
      <c r="AG154" s="40">
        <f t="shared" si="79"/>
        <v>0</v>
      </c>
      <c r="AH154" s="40">
        <f t="shared" si="79"/>
        <v>0</v>
      </c>
      <c r="AI154" s="40">
        <f t="shared" si="79"/>
        <v>0</v>
      </c>
    </row>
    <row r="155" spans="1:35" x14ac:dyDescent="0.2">
      <c r="A155" s="37" t="s">
        <v>173</v>
      </c>
      <c r="C155" s="182">
        <f>AI155</f>
        <v>3204417.7254660632</v>
      </c>
      <c r="E155" s="40">
        <f>D155+E153</f>
        <v>-840000</v>
      </c>
      <c r="F155" s="40">
        <f t="shared" ref="F155:AI155" si="80">E155+F153</f>
        <v>-671117.08258369402</v>
      </c>
      <c r="G155" s="40">
        <f t="shared" si="80"/>
        <v>-506897.23012240964</v>
      </c>
      <c r="H155" s="40">
        <f t="shared" si="80"/>
        <v>-347535.74631344824</v>
      </c>
      <c r="I155" s="40">
        <f t="shared" si="80"/>
        <v>-193239.81297694915</v>
      </c>
      <c r="J155" s="40">
        <f t="shared" si="80"/>
        <v>-44229.195381255093</v>
      </c>
      <c r="K155" s="40">
        <f t="shared" si="80"/>
        <v>99263.010239453084</v>
      </c>
      <c r="L155" s="40">
        <f t="shared" si="80"/>
        <v>236989.58444718146</v>
      </c>
      <c r="M155" s="40">
        <f t="shared" si="80"/>
        <v>368688.34496213763</v>
      </c>
      <c r="N155" s="40">
        <f t="shared" si="80"/>
        <v>494081.25678437273</v>
      </c>
      <c r="O155" s="40">
        <f t="shared" si="80"/>
        <v>542873.48906435515</v>
      </c>
      <c r="P155" s="40">
        <f t="shared" si="80"/>
        <v>654752.41553123132</v>
      </c>
      <c r="Q155" s="40">
        <f t="shared" si="80"/>
        <v>759386.5550961491</v>
      </c>
      <c r="R155" s="40">
        <f t="shared" si="80"/>
        <v>856424.44904515473</v>
      </c>
      <c r="S155" s="40">
        <f t="shared" si="80"/>
        <v>945493.47102114954</v>
      </c>
      <c r="T155" s="40">
        <f t="shared" si="80"/>
        <v>1026198.5657664571</v>
      </c>
      <c r="U155" s="40">
        <f t="shared" si="80"/>
        <v>1227853.9949396476</v>
      </c>
      <c r="V155" s="40">
        <f t="shared" si="80"/>
        <v>1428066.6575170227</v>
      </c>
      <c r="W155" s="40">
        <f t="shared" si="80"/>
        <v>1626832.9050953127</v>
      </c>
      <c r="X155" s="40">
        <f t="shared" si="80"/>
        <v>1824148.8359573581</v>
      </c>
      <c r="Y155" s="40">
        <f t="shared" si="80"/>
        <v>1950010.2895497815</v>
      </c>
      <c r="Z155" s="40">
        <f t="shared" si="80"/>
        <v>2194888.4219712913</v>
      </c>
      <c r="AA155" s="40">
        <f t="shared" si="80"/>
        <v>2442725.4013751792</v>
      </c>
      <c r="AB155" s="40">
        <f t="shared" si="80"/>
        <v>2693563.7987596216</v>
      </c>
      <c r="AC155" s="40">
        <f t="shared" si="80"/>
        <v>2947446.7028845823</v>
      </c>
      <c r="AD155" s="40">
        <f t="shared" si="80"/>
        <v>3204417.7254660632</v>
      </c>
      <c r="AE155" s="40">
        <f t="shared" si="80"/>
        <v>3204417.7254660632</v>
      </c>
      <c r="AF155" s="40">
        <f t="shared" si="80"/>
        <v>3204417.7254660632</v>
      </c>
      <c r="AG155" s="40">
        <f t="shared" si="80"/>
        <v>3204417.7254660632</v>
      </c>
      <c r="AH155" s="40">
        <f t="shared" si="80"/>
        <v>3204417.7254660632</v>
      </c>
      <c r="AI155" s="40">
        <f t="shared" si="80"/>
        <v>3204417.7254660632</v>
      </c>
    </row>
    <row r="156" spans="1:35" x14ac:dyDescent="0.2">
      <c r="A156" s="37" t="s">
        <v>174</v>
      </c>
      <c r="C156" s="182">
        <f>AI156</f>
        <v>0</v>
      </c>
      <c r="E156" s="40">
        <f>D156+E154</f>
        <v>0</v>
      </c>
      <c r="F156" s="40">
        <f t="shared" ref="F156:AI156" si="81">E156+F154</f>
        <v>0</v>
      </c>
      <c r="G156" s="40">
        <f t="shared" si="81"/>
        <v>0</v>
      </c>
      <c r="H156" s="40">
        <f t="shared" si="81"/>
        <v>0</v>
      </c>
      <c r="I156" s="40">
        <f t="shared" si="81"/>
        <v>0</v>
      </c>
      <c r="J156" s="40">
        <f t="shared" si="81"/>
        <v>0</v>
      </c>
      <c r="K156" s="40">
        <f t="shared" si="81"/>
        <v>0</v>
      </c>
      <c r="L156" s="40">
        <f t="shared" si="81"/>
        <v>0</v>
      </c>
      <c r="M156" s="40">
        <f t="shared" si="81"/>
        <v>0</v>
      </c>
      <c r="N156" s="40">
        <f t="shared" si="81"/>
        <v>0</v>
      </c>
      <c r="O156" s="40">
        <f t="shared" si="81"/>
        <v>0</v>
      </c>
      <c r="P156" s="40">
        <f t="shared" si="81"/>
        <v>0</v>
      </c>
      <c r="Q156" s="40">
        <f t="shared" si="81"/>
        <v>0</v>
      </c>
      <c r="R156" s="40">
        <f t="shared" si="81"/>
        <v>0</v>
      </c>
      <c r="S156" s="40">
        <f t="shared" si="81"/>
        <v>0</v>
      </c>
      <c r="T156" s="40">
        <f t="shared" si="81"/>
        <v>0</v>
      </c>
      <c r="U156" s="40">
        <f t="shared" si="81"/>
        <v>0</v>
      </c>
      <c r="V156" s="40">
        <f t="shared" si="81"/>
        <v>0</v>
      </c>
      <c r="W156" s="40">
        <f t="shared" si="81"/>
        <v>0</v>
      </c>
      <c r="X156" s="40">
        <f t="shared" si="81"/>
        <v>0</v>
      </c>
      <c r="Y156" s="40">
        <f t="shared" si="81"/>
        <v>0</v>
      </c>
      <c r="Z156" s="40">
        <f t="shared" si="81"/>
        <v>0</v>
      </c>
      <c r="AA156" s="40">
        <f t="shared" si="81"/>
        <v>0</v>
      </c>
      <c r="AB156" s="40">
        <f t="shared" si="81"/>
        <v>0</v>
      </c>
      <c r="AC156" s="40">
        <f t="shared" si="81"/>
        <v>0</v>
      </c>
      <c r="AD156" s="40">
        <f t="shared" si="81"/>
        <v>0</v>
      </c>
      <c r="AE156" s="40">
        <f t="shared" si="81"/>
        <v>0</v>
      </c>
      <c r="AF156" s="40">
        <f t="shared" si="81"/>
        <v>0</v>
      </c>
      <c r="AG156" s="40">
        <f t="shared" si="81"/>
        <v>0</v>
      </c>
      <c r="AH156" s="40">
        <f t="shared" si="81"/>
        <v>0</v>
      </c>
      <c r="AI156" s="40">
        <f t="shared" si="81"/>
        <v>0</v>
      </c>
    </row>
    <row r="157" spans="1:35" x14ac:dyDescent="0.2">
      <c r="A157" s="37" t="s">
        <v>240</v>
      </c>
      <c r="C157" s="182">
        <f>$B$15+IF($B$14="Local Economy",SysCost-$H$14,0)</f>
        <v>2100000</v>
      </c>
    </row>
    <row r="158" spans="1:35" x14ac:dyDescent="0.2">
      <c r="A158" s="37" t="s">
        <v>241</v>
      </c>
      <c r="C158" s="182">
        <f>-$B$15+IF($B$14="Outside Economy",SysCost-$H$14,0)</f>
        <v>0</v>
      </c>
    </row>
    <row r="159" spans="1:35" ht="15.75" x14ac:dyDescent="0.25">
      <c r="A159" s="163"/>
      <c r="C159" s="2"/>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row>
    <row r="160" spans="1:35" x14ac:dyDescent="0.2">
      <c r="C160" s="2"/>
    </row>
    <row r="161" spans="1:20" x14ac:dyDescent="0.2">
      <c r="C161" s="2"/>
    </row>
    <row r="162" spans="1:20" x14ac:dyDescent="0.2">
      <c r="C162" s="2"/>
    </row>
    <row r="163" spans="1:20" ht="15.75" x14ac:dyDescent="0.25">
      <c r="A163" s="163"/>
      <c r="C163" s="2"/>
      <c r="T163" s="2"/>
    </row>
    <row r="164" spans="1:20" x14ac:dyDescent="0.2">
      <c r="C164" s="2"/>
    </row>
    <row r="165" spans="1:20" x14ac:dyDescent="0.2">
      <c r="C165" s="2"/>
    </row>
    <row r="166" spans="1:20" x14ac:dyDescent="0.2">
      <c r="C166" s="2"/>
    </row>
    <row r="167" spans="1:20" x14ac:dyDescent="0.2">
      <c r="C167" s="2"/>
    </row>
    <row r="168" spans="1:20" x14ac:dyDescent="0.2">
      <c r="C168" s="2"/>
    </row>
    <row r="169" spans="1:20" x14ac:dyDescent="0.2">
      <c r="C169" s="2"/>
    </row>
    <row r="170" spans="1:20" x14ac:dyDescent="0.2">
      <c r="C170" s="2"/>
    </row>
    <row r="171" spans="1:20" x14ac:dyDescent="0.2">
      <c r="C171" s="2"/>
    </row>
  </sheetData>
  <sheetProtection algorithmName="SHA-512" hashValue="3NMUQzNpgli1Scd/uHF/m7bMcnu6KsXjVAr5U1KhpW5VkYPARrUVfe8thMFfEpf8Ocf8roDG+7HVLebccPLG5w==" saltValue="j+XVLdqFArlVqUJt9CQMe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1"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272</vt:i4>
      </vt:variant>
    </vt:vector>
  </HeadingPairs>
  <TitlesOfParts>
    <vt:vector size="280" baseType="lpstr">
      <vt:lpstr>Model Info</vt:lpstr>
      <vt:lpstr>User Inputs</vt:lpstr>
      <vt:lpstr>Results Summary</vt:lpstr>
      <vt:lpstr>Cash Flow Tables</vt:lpstr>
      <vt:lpstr>A</vt:lpstr>
      <vt:lpstr>B</vt:lpstr>
      <vt:lpstr>C</vt:lpstr>
      <vt:lpstr>D</vt:lpstr>
      <vt:lpstr>A!AssetBasis</vt:lpstr>
      <vt:lpstr>B!AssetBasis</vt:lpstr>
      <vt:lpstr>'C'!AssetBasis</vt:lpstr>
      <vt:lpstr>D!AssetBasis</vt:lpstr>
      <vt:lpstr>A!BegLoanBal</vt:lpstr>
      <vt:lpstr>B!BegLoanBal</vt:lpstr>
      <vt:lpstr>'C'!BegLoanBal</vt:lpstr>
      <vt:lpstr>D!BegLoanBal</vt:lpstr>
      <vt:lpstr>A!CapacityFactor</vt:lpstr>
      <vt:lpstr>B!CapacityFactor</vt:lpstr>
      <vt:lpstr>'C'!CapacityFactor</vt:lpstr>
      <vt:lpstr>D!CapacityFactor</vt:lpstr>
      <vt:lpstr>A!costperwatt</vt:lpstr>
      <vt:lpstr>B!costperwatt</vt:lpstr>
      <vt:lpstr>'C'!costperwatt</vt:lpstr>
      <vt:lpstr>D!costperwatt</vt:lpstr>
      <vt:lpstr>A!DebtService</vt:lpstr>
      <vt:lpstr>B!DebtService</vt:lpstr>
      <vt:lpstr>'C'!DebtService</vt:lpstr>
      <vt:lpstr>D!DebtService</vt:lpstr>
      <vt:lpstr>A!Degredation</vt:lpstr>
      <vt:lpstr>B!Degredation</vt:lpstr>
      <vt:lpstr>'C'!Degredation</vt:lpstr>
      <vt:lpstr>D!Degredation</vt:lpstr>
      <vt:lpstr>A!DEP_01</vt:lpstr>
      <vt:lpstr>B!DEP_01</vt:lpstr>
      <vt:lpstr>'C'!DEP_01</vt:lpstr>
      <vt:lpstr>D!DEP_01</vt:lpstr>
      <vt:lpstr>A!Dep_02</vt:lpstr>
      <vt:lpstr>B!Dep_02</vt:lpstr>
      <vt:lpstr>'C'!Dep_02</vt:lpstr>
      <vt:lpstr>D!Dep_02</vt:lpstr>
      <vt:lpstr>A!Dep_03</vt:lpstr>
      <vt:lpstr>B!Dep_03</vt:lpstr>
      <vt:lpstr>'C'!Dep_03</vt:lpstr>
      <vt:lpstr>D!Dep_03</vt:lpstr>
      <vt:lpstr>A!DEP_04</vt:lpstr>
      <vt:lpstr>B!DEP_04</vt:lpstr>
      <vt:lpstr>'C'!DEP_04</vt:lpstr>
      <vt:lpstr>D!DEP_04</vt:lpstr>
      <vt:lpstr>A!DEP_05</vt:lpstr>
      <vt:lpstr>B!DEP_05</vt:lpstr>
      <vt:lpstr>'C'!DEP_05</vt:lpstr>
      <vt:lpstr>D!DEP_05</vt:lpstr>
      <vt:lpstr>A!DEP_06</vt:lpstr>
      <vt:lpstr>B!DEP_06</vt:lpstr>
      <vt:lpstr>'C'!DEP_06</vt:lpstr>
      <vt:lpstr>D!DEP_06</vt:lpstr>
      <vt:lpstr>A!DEP_07</vt:lpstr>
      <vt:lpstr>B!DEP_07</vt:lpstr>
      <vt:lpstr>'C'!DEP_07</vt:lpstr>
      <vt:lpstr>D!DEP_07</vt:lpstr>
      <vt:lpstr>A!DEP_08</vt:lpstr>
      <vt:lpstr>B!DEP_08</vt:lpstr>
      <vt:lpstr>'C'!DEP_08</vt:lpstr>
      <vt:lpstr>D!DEP_08</vt:lpstr>
      <vt:lpstr>A!DEP_09</vt:lpstr>
      <vt:lpstr>B!DEP_09</vt:lpstr>
      <vt:lpstr>'C'!DEP_09</vt:lpstr>
      <vt:lpstr>D!DEP_09</vt:lpstr>
      <vt:lpstr>A!DEP_10</vt:lpstr>
      <vt:lpstr>B!DEP_10</vt:lpstr>
      <vt:lpstr>'C'!DEP_10</vt:lpstr>
      <vt:lpstr>D!DEP_10</vt:lpstr>
      <vt:lpstr>A!DEP_11</vt:lpstr>
      <vt:lpstr>B!DEP_11</vt:lpstr>
      <vt:lpstr>'C'!DEP_11</vt:lpstr>
      <vt:lpstr>D!DEP_11</vt:lpstr>
      <vt:lpstr>A!DEP_12</vt:lpstr>
      <vt:lpstr>B!DEP_12</vt:lpstr>
      <vt:lpstr>'C'!DEP_12</vt:lpstr>
      <vt:lpstr>D!DEP_12</vt:lpstr>
      <vt:lpstr>A!DEP_13</vt:lpstr>
      <vt:lpstr>B!DEP_13</vt:lpstr>
      <vt:lpstr>'C'!DEP_13</vt:lpstr>
      <vt:lpstr>D!DEP_13</vt:lpstr>
      <vt:lpstr>A!DEP_14</vt:lpstr>
      <vt:lpstr>B!DEP_14</vt:lpstr>
      <vt:lpstr>'C'!DEP_14</vt:lpstr>
      <vt:lpstr>D!DEP_14</vt:lpstr>
      <vt:lpstr>A!DEP_15</vt:lpstr>
      <vt:lpstr>B!DEP_15</vt:lpstr>
      <vt:lpstr>'C'!DEP_15</vt:lpstr>
      <vt:lpstr>D!DEP_15</vt:lpstr>
      <vt:lpstr>A!DEP_16</vt:lpstr>
      <vt:lpstr>B!DEP_16</vt:lpstr>
      <vt:lpstr>'C'!DEP_16</vt:lpstr>
      <vt:lpstr>D!DEP_16</vt:lpstr>
      <vt:lpstr>A!DEP_17</vt:lpstr>
      <vt:lpstr>B!DEP_17</vt:lpstr>
      <vt:lpstr>'C'!DEP_17</vt:lpstr>
      <vt:lpstr>D!DEP_17</vt:lpstr>
      <vt:lpstr>A!DEP_18</vt:lpstr>
      <vt:lpstr>B!DEP_18</vt:lpstr>
      <vt:lpstr>'C'!DEP_18</vt:lpstr>
      <vt:lpstr>D!DEP_18</vt:lpstr>
      <vt:lpstr>A!DEP_19</vt:lpstr>
      <vt:lpstr>B!DEP_19</vt:lpstr>
      <vt:lpstr>'C'!DEP_19</vt:lpstr>
      <vt:lpstr>D!DEP_19</vt:lpstr>
      <vt:lpstr>A!DEP_20</vt:lpstr>
      <vt:lpstr>B!DEP_20</vt:lpstr>
      <vt:lpstr>'C'!DEP_20</vt:lpstr>
      <vt:lpstr>D!DEP_20</vt:lpstr>
      <vt:lpstr>A!DEP_21</vt:lpstr>
      <vt:lpstr>B!DEP_21</vt:lpstr>
      <vt:lpstr>'C'!DEP_21</vt:lpstr>
      <vt:lpstr>D!DEP_21</vt:lpstr>
      <vt:lpstr>A!DEP_22</vt:lpstr>
      <vt:lpstr>B!DEP_22</vt:lpstr>
      <vt:lpstr>'C'!DEP_22</vt:lpstr>
      <vt:lpstr>D!DEP_22</vt:lpstr>
      <vt:lpstr>A!DEP_23</vt:lpstr>
      <vt:lpstr>B!DEP_23</vt:lpstr>
      <vt:lpstr>'C'!DEP_23</vt:lpstr>
      <vt:lpstr>D!DEP_23</vt:lpstr>
      <vt:lpstr>A!DEP_24</vt:lpstr>
      <vt:lpstr>B!DEP_24</vt:lpstr>
      <vt:lpstr>'C'!DEP_24</vt:lpstr>
      <vt:lpstr>D!DEP_24</vt:lpstr>
      <vt:lpstr>A!DEP_25</vt:lpstr>
      <vt:lpstr>B!DEP_25</vt:lpstr>
      <vt:lpstr>'C'!DEP_25</vt:lpstr>
      <vt:lpstr>D!DEP_25</vt:lpstr>
      <vt:lpstr>A!DEP_26</vt:lpstr>
      <vt:lpstr>B!DEP_26</vt:lpstr>
      <vt:lpstr>'C'!DEP_26</vt:lpstr>
      <vt:lpstr>D!DEP_26</vt:lpstr>
      <vt:lpstr>A!DEP_27</vt:lpstr>
      <vt:lpstr>B!DEP_27</vt:lpstr>
      <vt:lpstr>'C'!DEP_27</vt:lpstr>
      <vt:lpstr>D!DEP_27</vt:lpstr>
      <vt:lpstr>A!DEP_28</vt:lpstr>
      <vt:lpstr>B!DEP_28</vt:lpstr>
      <vt:lpstr>'C'!DEP_28</vt:lpstr>
      <vt:lpstr>D!DEP_28</vt:lpstr>
      <vt:lpstr>A!DEP_29</vt:lpstr>
      <vt:lpstr>B!DEP_29</vt:lpstr>
      <vt:lpstr>'C'!DEP_29</vt:lpstr>
      <vt:lpstr>D!DEP_29</vt:lpstr>
      <vt:lpstr>A!DEP_30</vt:lpstr>
      <vt:lpstr>B!DEP_30</vt:lpstr>
      <vt:lpstr>'C'!DEP_30</vt:lpstr>
      <vt:lpstr>D!DEP_30</vt:lpstr>
      <vt:lpstr>A!DepreciationLife</vt:lpstr>
      <vt:lpstr>B!DepreciationLife</vt:lpstr>
      <vt:lpstr>'C'!DepreciationLife</vt:lpstr>
      <vt:lpstr>D!DepreciationLife</vt:lpstr>
      <vt:lpstr>A!EBT</vt:lpstr>
      <vt:lpstr>B!EBT</vt:lpstr>
      <vt:lpstr>'C'!EBT</vt:lpstr>
      <vt:lpstr>D!EBT</vt:lpstr>
      <vt:lpstr>A!elecRev</vt:lpstr>
      <vt:lpstr>B!elecRev</vt:lpstr>
      <vt:lpstr>'C'!elecRev</vt:lpstr>
      <vt:lpstr>D!elecRev</vt:lpstr>
      <vt:lpstr>A!ElecRevAdj</vt:lpstr>
      <vt:lpstr>B!ElecRevAdj</vt:lpstr>
      <vt:lpstr>'C'!ElecRevAdj</vt:lpstr>
      <vt:lpstr>D!ElecRevAdj</vt:lpstr>
      <vt:lpstr>A!FedDepr</vt:lpstr>
      <vt:lpstr>B!FedDepr</vt:lpstr>
      <vt:lpstr>'C'!FedDepr</vt:lpstr>
      <vt:lpstr>D!FedDepr</vt:lpstr>
      <vt:lpstr>A!FedTaxCredit</vt:lpstr>
      <vt:lpstr>B!FedTaxCredit</vt:lpstr>
      <vt:lpstr>'C'!FedTaxCredit</vt:lpstr>
      <vt:lpstr>D!FedTaxCredit</vt:lpstr>
      <vt:lpstr>A!FedTaxCreditAmt</vt:lpstr>
      <vt:lpstr>B!FedTaxCreditAmt</vt:lpstr>
      <vt:lpstr>'C'!FedTaxCreditAmt</vt:lpstr>
      <vt:lpstr>D!FedTaxCreditAmt</vt:lpstr>
      <vt:lpstr>A!FedTaxRate</vt:lpstr>
      <vt:lpstr>B!FedTaxRate</vt:lpstr>
      <vt:lpstr>'C'!FedTaxRate</vt:lpstr>
      <vt:lpstr>D!FedTaxRate</vt:lpstr>
      <vt:lpstr>A!Generation</vt:lpstr>
      <vt:lpstr>B!Generation</vt:lpstr>
      <vt:lpstr>'C'!Generation</vt:lpstr>
      <vt:lpstr>D!Generation</vt:lpstr>
      <vt:lpstr>A!Interest</vt:lpstr>
      <vt:lpstr>B!Interest</vt:lpstr>
      <vt:lpstr>'C'!Interest</vt:lpstr>
      <vt:lpstr>D!Interest</vt:lpstr>
      <vt:lpstr>A!InverterReplaceCost</vt:lpstr>
      <vt:lpstr>B!InverterReplaceCost</vt:lpstr>
      <vt:lpstr>'C'!InverterReplaceCost</vt:lpstr>
      <vt:lpstr>D!InverterReplaceCost</vt:lpstr>
      <vt:lpstr>A!LoanAmount</vt:lpstr>
      <vt:lpstr>B!LoanAmount</vt:lpstr>
      <vt:lpstr>'C'!LoanAmount</vt:lpstr>
      <vt:lpstr>D!LoanAmount</vt:lpstr>
      <vt:lpstr>A!LoanInterest</vt:lpstr>
      <vt:lpstr>B!LoanInterest</vt:lpstr>
      <vt:lpstr>'C'!LoanInterest</vt:lpstr>
      <vt:lpstr>D!LoanInterest</vt:lpstr>
      <vt:lpstr>A!LoanPer</vt:lpstr>
      <vt:lpstr>B!LoanPer</vt:lpstr>
      <vt:lpstr>'C'!LoanPer</vt:lpstr>
      <vt:lpstr>D!LoanPer</vt:lpstr>
      <vt:lpstr>A!LoanTerm</vt:lpstr>
      <vt:lpstr>B!LoanTerm</vt:lpstr>
      <vt:lpstr>'C'!LoanTerm</vt:lpstr>
      <vt:lpstr>D!LoanTerm</vt:lpstr>
      <vt:lpstr>A!NetCost</vt:lpstr>
      <vt:lpstr>B!NetCost</vt:lpstr>
      <vt:lpstr>'C'!NetCost</vt:lpstr>
      <vt:lpstr>D!NetCost</vt:lpstr>
      <vt:lpstr>A!OMFactor</vt:lpstr>
      <vt:lpstr>B!OMFactor</vt:lpstr>
      <vt:lpstr>'C'!OMFactor</vt:lpstr>
      <vt:lpstr>D!OMFactor</vt:lpstr>
      <vt:lpstr>A!OpCost_Yr</vt:lpstr>
      <vt:lpstr>B!OpCost_Yr</vt:lpstr>
      <vt:lpstr>'C'!OpCost_Yr</vt:lpstr>
      <vt:lpstr>D!OpCost_Yr</vt:lpstr>
      <vt:lpstr>A!OpCostAdj_Yr</vt:lpstr>
      <vt:lpstr>B!OpCostAdj_Yr</vt:lpstr>
      <vt:lpstr>'C'!OpCostAdj_Yr</vt:lpstr>
      <vt:lpstr>D!OpCostAdj_Yr</vt:lpstr>
      <vt:lpstr>A!Principle</vt:lpstr>
      <vt:lpstr>B!Principle</vt:lpstr>
      <vt:lpstr>'C'!Principle</vt:lpstr>
      <vt:lpstr>D!Principle</vt:lpstr>
      <vt:lpstr>A!Print_Area</vt:lpstr>
      <vt:lpstr>B!Print_Area</vt:lpstr>
      <vt:lpstr>'C'!Print_Area</vt:lpstr>
      <vt:lpstr>D!Print_Area</vt:lpstr>
      <vt:lpstr>A!Print_Titles</vt:lpstr>
      <vt:lpstr>B!Print_Titles</vt:lpstr>
      <vt:lpstr>'C'!Print_Titles</vt:lpstr>
      <vt:lpstr>D!Print_Titles</vt:lpstr>
      <vt:lpstr>A!projectlife</vt:lpstr>
      <vt:lpstr>B!projectlife</vt:lpstr>
      <vt:lpstr>'C'!projectlife</vt:lpstr>
      <vt:lpstr>D!projectlife</vt:lpstr>
      <vt:lpstr>A!ProjectYear</vt:lpstr>
      <vt:lpstr>B!ProjectYear</vt:lpstr>
      <vt:lpstr>'C'!ProjectYear</vt:lpstr>
      <vt:lpstr>D!ProjectYear</vt:lpstr>
      <vt:lpstr>A!Rebate</vt:lpstr>
      <vt:lpstr>B!Rebate</vt:lpstr>
      <vt:lpstr>'C'!Rebate</vt:lpstr>
      <vt:lpstr>D!Rebate</vt:lpstr>
      <vt:lpstr>A!ReplaceInverterYear</vt:lpstr>
      <vt:lpstr>B!ReplaceInverterYear</vt:lpstr>
      <vt:lpstr>'C'!ReplaceInverterYear</vt:lpstr>
      <vt:lpstr>D!ReplaceInverterYear</vt:lpstr>
      <vt:lpstr>A!StateTaxAdj</vt:lpstr>
      <vt:lpstr>B!StateTaxAdj</vt:lpstr>
      <vt:lpstr>'C'!StateTaxAdj</vt:lpstr>
      <vt:lpstr>D!StateTaxAdj</vt:lpstr>
      <vt:lpstr>A!StateTaxDed</vt:lpstr>
      <vt:lpstr>B!StateTaxDed</vt:lpstr>
      <vt:lpstr>'C'!StateTaxDed</vt:lpstr>
      <vt:lpstr>D!StateTaxDed</vt:lpstr>
      <vt:lpstr>A!StateTaxRate</vt:lpstr>
      <vt:lpstr>B!StateTaxRate</vt:lpstr>
      <vt:lpstr>'C'!StateTaxRate</vt:lpstr>
      <vt:lpstr>D!StateTaxRate</vt:lpstr>
      <vt:lpstr>A!SysCost</vt:lpstr>
      <vt:lpstr>B!SysCost</vt:lpstr>
      <vt:lpstr>'C'!SysCost</vt:lpstr>
      <vt:lpstr>D!SysCost</vt:lpstr>
      <vt:lpstr>A!SystemSize</vt:lpstr>
      <vt:lpstr>B!SystemSize</vt:lpstr>
      <vt:lpstr>'C'!SystemSize</vt:lpstr>
      <vt:lpstr>D!SystemSize</vt:lpstr>
      <vt:lpstr>A!taxable</vt:lpstr>
      <vt:lpstr>B!taxable</vt:lpstr>
      <vt:lpstr>'C'!taxable</vt:lpstr>
      <vt:lpstr>D!taxable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Brasil</dc:creator>
  <cp:lastModifiedBy>Dwayne Breger</cp:lastModifiedBy>
  <cp:lastPrinted>2021-08-18T02:31:24Z</cp:lastPrinted>
  <dcterms:created xsi:type="dcterms:W3CDTF">2004-08-20T16:57:20Z</dcterms:created>
  <dcterms:modified xsi:type="dcterms:W3CDTF">2022-11-14T21:16:11Z</dcterms:modified>
</cp:coreProperties>
</file>